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ACER NITRO 5\Desktop\DBP Files\1 - LUZON\BBG-BICOL 8-5-8-2025\DBP LEGAZPI SEPTIC TANK\"/>
    </mc:Choice>
  </mc:AlternateContent>
  <xr:revisionPtr revIDLastSave="0" documentId="13_ncr:1_{F06165E1-D695-4873-9096-3AD731ABEBE4}" xr6:coauthVersionLast="47" xr6:coauthVersionMax="47" xr10:uidLastSave="{00000000-0000-0000-0000-000000000000}"/>
  <bookViews>
    <workbookView xWindow="-108" yWindow="-108" windowWidth="23256" windowHeight="12456" tabRatio="402" firstSheet="1" activeTab="1" xr2:uid="{00000000-000D-0000-FFFF-FFFF00000000}"/>
  </bookViews>
  <sheets>
    <sheet name="BOQ" sheetId="4" r:id="rId1"/>
    <sheet name="BOQ SEPTIC" sheetId="5" r:id="rId2"/>
  </sheets>
  <externalReferences>
    <externalReference r:id="rId3"/>
  </externalReferences>
  <definedNames>
    <definedName name="_a22396" localSheetId="1">#REF!</definedName>
    <definedName name="_a22396">#REF!</definedName>
    <definedName name="A" localSheetId="1">#REF!</definedName>
    <definedName name="A">#REF!</definedName>
    <definedName name="Excel_BuiltIn_Print_Titles_1" localSheetId="0">BOQ!$A$1:$IU$7</definedName>
    <definedName name="Excel_BuiltIn_Print_Titles_1">#REF!</definedName>
    <definedName name="Excel_BuiltIn_Print_Titles_1_1" localSheetId="0">BOQ!$A$1:$IS$7</definedName>
    <definedName name="Excel_BuiltIn_Print_Titles_1_1">#REF!</definedName>
    <definedName name="M" localSheetId="1">'[1]Const&amp;Renov'!#REF!</definedName>
    <definedName name="M">'[1]Const&amp;Renov'!#REF!</definedName>
    <definedName name="miggy" localSheetId="1">'[1]Const&amp;Renov'!#REF!</definedName>
    <definedName name="miggy">'[1]Const&amp;Renov'!#REF!</definedName>
    <definedName name="n" localSheetId="1">'[1]Const&amp;Renov'!#REF!</definedName>
    <definedName name="n">'[1]Const&amp;Renov'!#REF!</definedName>
    <definedName name="_xlnm.Print_Area" localSheetId="0">BOQ!$A$1:$U$471</definedName>
    <definedName name="_xlnm.Print_Area" localSheetId="1">'BOQ SEPTIC'!$A$1:$X$65</definedName>
    <definedName name="_xlnm.Print_Area">#REF!</definedName>
    <definedName name="_xlnm.Print_Titles" localSheetId="0">BOQ!$1:$7</definedName>
    <definedName name="_xlnm.Print_Titles" localSheetId="1">'BOQ SEPTIC'!$1:$9</definedName>
    <definedName name="x" localSheetId="1">'[1]Const&amp;Renov'!#REF!</definedName>
    <definedName name="x">'[1]Const&amp;Renov'!#REF!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3" i="5" l="1"/>
  <c r="P53" i="5" l="1"/>
  <c r="O53" i="5"/>
  <c r="O52" i="5"/>
  <c r="P52" i="5"/>
  <c r="O28" i="5"/>
  <c r="P28" i="5"/>
  <c r="R53" i="5" l="1"/>
  <c r="R52" i="5"/>
  <c r="R28" i="5"/>
  <c r="S28" i="5" s="1"/>
  <c r="T53" i="5" l="1"/>
  <c r="U53" i="5" s="1"/>
  <c r="S53" i="5"/>
  <c r="T52" i="5"/>
  <c r="U52" i="5" s="1"/>
  <c r="S52" i="5"/>
  <c r="T28" i="5"/>
  <c r="U28" i="5" s="1"/>
  <c r="V53" i="5" l="1"/>
  <c r="W53" i="5"/>
  <c r="V52" i="5"/>
  <c r="W52" i="5"/>
  <c r="X52" i="5" s="1"/>
  <c r="V28" i="5"/>
  <c r="W28" i="5"/>
  <c r="X28" i="5" s="1"/>
  <c r="X53" i="5" l="1"/>
  <c r="O27" i="5"/>
  <c r="P26" i="5"/>
  <c r="P20" i="5"/>
  <c r="P16" i="5"/>
  <c r="P15" i="5"/>
  <c r="O15" i="5"/>
  <c r="M133" i="4"/>
  <c r="G133" i="4"/>
  <c r="O24" i="5" l="1"/>
  <c r="P24" i="5"/>
  <c r="P27" i="5"/>
  <c r="R27" i="5" s="1"/>
  <c r="O26" i="5"/>
  <c r="O20" i="5"/>
  <c r="R16" i="5"/>
  <c r="T16" i="5" s="1"/>
  <c r="U16" i="5" s="1"/>
  <c r="P23" i="5"/>
  <c r="O23" i="5"/>
  <c r="O22" i="5"/>
  <c r="P22" i="5"/>
  <c r="R15" i="5"/>
  <c r="S15" i="5" s="1"/>
  <c r="J131" i="4"/>
  <c r="G131" i="4"/>
  <c r="P50" i="5" l="1"/>
  <c r="P51" i="5"/>
  <c r="R24" i="5"/>
  <c r="S24" i="5" s="1"/>
  <c r="O50" i="5"/>
  <c r="R50" i="5" s="1"/>
  <c r="T27" i="5"/>
  <c r="U27" i="5" s="1"/>
  <c r="S27" i="5"/>
  <c r="R26" i="5"/>
  <c r="S26" i="5" s="1"/>
  <c r="O51" i="5"/>
  <c r="R51" i="5" s="1"/>
  <c r="P40" i="5"/>
  <c r="S16" i="5"/>
  <c r="R20" i="5"/>
  <c r="T20" i="5" s="1"/>
  <c r="U20" i="5" s="1"/>
  <c r="V20" i="5" s="1"/>
  <c r="W16" i="5"/>
  <c r="X16" i="5" s="1"/>
  <c r="V16" i="5"/>
  <c r="R22" i="5"/>
  <c r="S22" i="5" s="1"/>
  <c r="T15" i="5"/>
  <c r="U15" i="5" s="1"/>
  <c r="R23" i="5"/>
  <c r="E106" i="4"/>
  <c r="E105" i="4"/>
  <c r="G118" i="4"/>
  <c r="S51" i="5" l="1"/>
  <c r="O33" i="5"/>
  <c r="R33" i="5" s="1"/>
  <c r="P43" i="5"/>
  <c r="O43" i="5"/>
  <c r="R43" i="5" s="1"/>
  <c r="S43" i="5" s="1"/>
  <c r="T24" i="5"/>
  <c r="U24" i="5" s="1"/>
  <c r="P31" i="5"/>
  <c r="R31" i="5" s="1"/>
  <c r="P48" i="5"/>
  <c r="O48" i="5"/>
  <c r="W27" i="5"/>
  <c r="X27" i="5" s="1"/>
  <c r="V27" i="5"/>
  <c r="W20" i="5"/>
  <c r="X20" i="5" s="1"/>
  <c r="T26" i="5"/>
  <c r="U26" i="5" s="1"/>
  <c r="V26" i="5" s="1"/>
  <c r="O40" i="5"/>
  <c r="R40" i="5" s="1"/>
  <c r="S20" i="5"/>
  <c r="V15" i="5"/>
  <c r="W15" i="5"/>
  <c r="X15" i="5" s="1"/>
  <c r="T50" i="5"/>
  <c r="U50" i="5" s="1"/>
  <c r="T23" i="5"/>
  <c r="U23" i="5" s="1"/>
  <c r="S23" i="5"/>
  <c r="S50" i="5"/>
  <c r="P47" i="5"/>
  <c r="O47" i="5"/>
  <c r="T51" i="5"/>
  <c r="U51" i="5" s="1"/>
  <c r="T22" i="5"/>
  <c r="U22" i="5" s="1"/>
  <c r="F125" i="4"/>
  <c r="K118" i="4" s="1"/>
  <c r="F126" i="4"/>
  <c r="F127" i="4"/>
  <c r="F124" i="4"/>
  <c r="F128" i="4" s="1"/>
  <c r="E121" i="4"/>
  <c r="F121" i="4" s="1"/>
  <c r="E120" i="4"/>
  <c r="F120" i="4" s="1"/>
  <c r="I14" i="5" l="1"/>
  <c r="J14" i="5" s="1"/>
  <c r="P33" i="5"/>
  <c r="S33" i="5" s="1"/>
  <c r="O31" i="5"/>
  <c r="S31" i="5" s="1"/>
  <c r="T43" i="5"/>
  <c r="U43" i="5" s="1"/>
  <c r="R48" i="5"/>
  <c r="S48" i="5" s="1"/>
  <c r="V24" i="5"/>
  <c r="W24" i="5"/>
  <c r="X24" i="5" s="1"/>
  <c r="W26" i="5"/>
  <c r="X26" i="5" s="1"/>
  <c r="V22" i="5"/>
  <c r="W22" i="5"/>
  <c r="V23" i="5"/>
  <c r="W23" i="5"/>
  <c r="X23" i="5" s="1"/>
  <c r="V50" i="5"/>
  <c r="W50" i="5"/>
  <c r="X50" i="5" s="1"/>
  <c r="V51" i="5"/>
  <c r="W51" i="5"/>
  <c r="T40" i="5"/>
  <c r="U40" i="5" s="1"/>
  <c r="S40" i="5"/>
  <c r="T33" i="5"/>
  <c r="U33" i="5" s="1"/>
  <c r="R47" i="5"/>
  <c r="T31" i="5"/>
  <c r="U31" i="5" s="1"/>
  <c r="F122" i="4"/>
  <c r="W29" i="5" l="1"/>
  <c r="X51" i="5"/>
  <c r="V43" i="5"/>
  <c r="W43" i="5"/>
  <c r="X43" i="5" s="1"/>
  <c r="T48" i="5"/>
  <c r="U48" i="5" s="1"/>
  <c r="V48" i="5" s="1"/>
  <c r="V40" i="5"/>
  <c r="W40" i="5"/>
  <c r="W44" i="5" s="1"/>
  <c r="V31" i="5"/>
  <c r="W31" i="5"/>
  <c r="V33" i="5"/>
  <c r="W33" i="5"/>
  <c r="X33" i="5" s="1"/>
  <c r="R11" i="5"/>
  <c r="T11" i="5" s="1"/>
  <c r="T47" i="5"/>
  <c r="U47" i="5" s="1"/>
  <c r="S47" i="5"/>
  <c r="X22" i="5"/>
  <c r="J118" i="4"/>
  <c r="L118" i="4" s="1"/>
  <c r="M118" i="4" s="1"/>
  <c r="O118" i="4" s="1"/>
  <c r="F129" i="4"/>
  <c r="W37" i="5" l="1"/>
  <c r="W48" i="5"/>
  <c r="X48" i="5" s="1"/>
  <c r="V47" i="5"/>
  <c r="W47" i="5"/>
  <c r="X31" i="5"/>
  <c r="U11" i="5"/>
  <c r="S11" i="5"/>
  <c r="X40" i="5"/>
  <c r="Q118" i="4"/>
  <c r="R118" i="4" s="1"/>
  <c r="S118" i="4" s="1"/>
  <c r="T118" i="4" s="1"/>
  <c r="U118" i="4" s="1"/>
  <c r="N118" i="4"/>
  <c r="G99" i="4"/>
  <c r="E110" i="4"/>
  <c r="F110" i="4" s="1"/>
  <c r="F111" i="4" s="1"/>
  <c r="E136" i="4"/>
  <c r="F136" i="4" s="1"/>
  <c r="E137" i="4"/>
  <c r="F137" i="4" s="1"/>
  <c r="D155" i="4"/>
  <c r="C170" i="4" s="1"/>
  <c r="F170" i="4" s="1"/>
  <c r="D161" i="4"/>
  <c r="C171" i="4" s="1"/>
  <c r="F171" i="4" s="1"/>
  <c r="D165" i="4"/>
  <c r="C172" i="4" s="1"/>
  <c r="F172" i="4" s="1"/>
  <c r="F173" i="4"/>
  <c r="F174" i="4"/>
  <c r="E178" i="4"/>
  <c r="F178" i="4" s="1"/>
  <c r="E179" i="4"/>
  <c r="F179" i="4" s="1"/>
  <c r="E180" i="4"/>
  <c r="F180" i="4" s="1"/>
  <c r="H191" i="4"/>
  <c r="H192" i="4"/>
  <c r="H193" i="4"/>
  <c r="G194" i="4"/>
  <c r="H194" i="4"/>
  <c r="H195" i="4"/>
  <c r="G197" i="4"/>
  <c r="H197" i="4"/>
  <c r="C199" i="4"/>
  <c r="F199" i="4" s="1"/>
  <c r="C200" i="4"/>
  <c r="G192" i="4" s="1"/>
  <c r="C201" i="4"/>
  <c r="G193" i="4" s="1"/>
  <c r="F202" i="4"/>
  <c r="I194" i="4" s="1"/>
  <c r="C203" i="4"/>
  <c r="G195" i="4" s="1"/>
  <c r="F204" i="4"/>
  <c r="I197" i="4" s="1"/>
  <c r="J197" i="4" s="1"/>
  <c r="K197" i="4" s="1"/>
  <c r="E208" i="4"/>
  <c r="F208" i="4" s="1"/>
  <c r="E209" i="4"/>
  <c r="F209" i="4" s="1"/>
  <c r="E210" i="4"/>
  <c r="F210" i="4" s="1"/>
  <c r="D228" i="4"/>
  <c r="D229" i="4"/>
  <c r="D235" i="4"/>
  <c r="D236" i="4"/>
  <c r="D243" i="4"/>
  <c r="D244" i="4"/>
  <c r="M256" i="4"/>
  <c r="N256" i="4" s="1"/>
  <c r="C258" i="4"/>
  <c r="C261" i="4" s="1"/>
  <c r="F261" i="4" s="1"/>
  <c r="F262" i="4"/>
  <c r="E265" i="4"/>
  <c r="F265" i="4" s="1"/>
  <c r="F266" i="4"/>
  <c r="F267" i="4"/>
  <c r="N274" i="4"/>
  <c r="O274" i="4"/>
  <c r="Q274" i="4"/>
  <c r="R274" i="4" s="1"/>
  <c r="S274" i="4" s="1"/>
  <c r="T274" i="4" s="1"/>
  <c r="U274" i="4" s="1"/>
  <c r="W277" i="4"/>
  <c r="N280" i="4"/>
  <c r="O280" i="4"/>
  <c r="Q280" i="4"/>
  <c r="R280" i="4" s="1"/>
  <c r="S280" i="4" s="1"/>
  <c r="T280" i="4" s="1"/>
  <c r="N287" i="4"/>
  <c r="O287" i="4"/>
  <c r="Q287" i="4"/>
  <c r="R287" i="4" s="1"/>
  <c r="S287" i="4" s="1"/>
  <c r="T287" i="4" s="1"/>
  <c r="U287" i="4" s="1"/>
  <c r="N295" i="4"/>
  <c r="O295" i="4"/>
  <c r="Q295" i="4"/>
  <c r="R295" i="4" s="1"/>
  <c r="S295" i="4" s="1"/>
  <c r="T295" i="4" s="1"/>
  <c r="U295" i="4" s="1"/>
  <c r="N302" i="4"/>
  <c r="O302" i="4"/>
  <c r="Q302" i="4"/>
  <c r="R302" i="4" s="1"/>
  <c r="S302" i="4" s="1"/>
  <c r="T302" i="4" s="1"/>
  <c r="U302" i="4" s="1"/>
  <c r="N309" i="4"/>
  <c r="O309" i="4"/>
  <c r="Q309" i="4"/>
  <c r="R309" i="4" s="1"/>
  <c r="S309" i="4" s="1"/>
  <c r="T309" i="4" s="1"/>
  <c r="U309" i="4" s="1"/>
  <c r="N316" i="4"/>
  <c r="O316" i="4"/>
  <c r="Q316" i="4"/>
  <c r="R316" i="4" s="1"/>
  <c r="S316" i="4" s="1"/>
  <c r="T316" i="4" s="1"/>
  <c r="U316" i="4" s="1"/>
  <c r="N323" i="4"/>
  <c r="O323" i="4"/>
  <c r="Q323" i="4"/>
  <c r="R323" i="4" s="1"/>
  <c r="S323" i="4" s="1"/>
  <c r="T323" i="4" s="1"/>
  <c r="U323" i="4" s="1"/>
  <c r="N330" i="4"/>
  <c r="O330" i="4"/>
  <c r="Q330" i="4"/>
  <c r="R330" i="4" s="1"/>
  <c r="S330" i="4" s="1"/>
  <c r="T330" i="4" s="1"/>
  <c r="U330" i="4" s="1"/>
  <c r="N337" i="4"/>
  <c r="O337" i="4"/>
  <c r="Q337" i="4"/>
  <c r="R337" i="4" s="1"/>
  <c r="S337" i="4" s="1"/>
  <c r="T337" i="4" s="1"/>
  <c r="U337" i="4" s="1"/>
  <c r="N344" i="4"/>
  <c r="O344" i="4"/>
  <c r="Q344" i="4"/>
  <c r="R344" i="4" s="1"/>
  <c r="S344" i="4" s="1"/>
  <c r="T344" i="4" s="1"/>
  <c r="U344" i="4" s="1"/>
  <c r="N351" i="4"/>
  <c r="O351" i="4"/>
  <c r="Q351" i="4"/>
  <c r="R351" i="4" s="1"/>
  <c r="S351" i="4" s="1"/>
  <c r="T351" i="4" s="1"/>
  <c r="U351" i="4" s="1"/>
  <c r="N359" i="4"/>
  <c r="O359" i="4"/>
  <c r="Q359" i="4"/>
  <c r="R359" i="4" s="1"/>
  <c r="S359" i="4" s="1"/>
  <c r="T359" i="4" s="1"/>
  <c r="U359" i="4" s="1"/>
  <c r="N366" i="4"/>
  <c r="O366" i="4"/>
  <c r="Q366" i="4"/>
  <c r="R366" i="4" s="1"/>
  <c r="S366" i="4" s="1"/>
  <c r="T366" i="4" s="1"/>
  <c r="U366" i="4" s="1"/>
  <c r="N373" i="4"/>
  <c r="O373" i="4"/>
  <c r="Q373" i="4"/>
  <c r="R373" i="4" s="1"/>
  <c r="S373" i="4" s="1"/>
  <c r="T373" i="4" s="1"/>
  <c r="U373" i="4" s="1"/>
  <c r="N380" i="4"/>
  <c r="O380" i="4"/>
  <c r="Q380" i="4"/>
  <c r="R380" i="4" s="1"/>
  <c r="S380" i="4" s="1"/>
  <c r="T380" i="4" s="1"/>
  <c r="U380" i="4" s="1"/>
  <c r="N387" i="4"/>
  <c r="O387" i="4"/>
  <c r="Q387" i="4"/>
  <c r="R387" i="4" s="1"/>
  <c r="S387" i="4" s="1"/>
  <c r="T387" i="4" s="1"/>
  <c r="U387" i="4" s="1"/>
  <c r="N394" i="4"/>
  <c r="O394" i="4"/>
  <c r="Q394" i="4"/>
  <c r="R394" i="4" s="1"/>
  <c r="S394" i="4" s="1"/>
  <c r="T394" i="4" s="1"/>
  <c r="U394" i="4" s="1"/>
  <c r="N401" i="4"/>
  <c r="O401" i="4"/>
  <c r="Q401" i="4"/>
  <c r="R401" i="4" s="1"/>
  <c r="S401" i="4" s="1"/>
  <c r="T401" i="4" s="1"/>
  <c r="U401" i="4" s="1"/>
  <c r="N408" i="4"/>
  <c r="O408" i="4"/>
  <c r="Q408" i="4"/>
  <c r="R408" i="4" s="1"/>
  <c r="S408" i="4" s="1"/>
  <c r="T408" i="4" s="1"/>
  <c r="U408" i="4" s="1"/>
  <c r="N422" i="4"/>
  <c r="O422" i="4"/>
  <c r="Q422" i="4"/>
  <c r="R422" i="4" s="1"/>
  <c r="S422" i="4" s="1"/>
  <c r="T422" i="4" s="1"/>
  <c r="U422" i="4" s="1"/>
  <c r="N429" i="4"/>
  <c r="O429" i="4"/>
  <c r="Q429" i="4"/>
  <c r="R429" i="4" s="1"/>
  <c r="S429" i="4" s="1"/>
  <c r="T429" i="4" s="1"/>
  <c r="U429" i="4" s="1"/>
  <c r="N436" i="4"/>
  <c r="O436" i="4"/>
  <c r="Q436" i="4"/>
  <c r="R436" i="4" s="1"/>
  <c r="S436" i="4" s="1"/>
  <c r="T436" i="4" s="1"/>
  <c r="U436" i="4" s="1"/>
  <c r="V457" i="4"/>
  <c r="Z460" i="4"/>
  <c r="Z461" i="4" s="1"/>
  <c r="Z462" i="4"/>
  <c r="Z463" i="4"/>
  <c r="W54" i="5" l="1"/>
  <c r="X47" i="5"/>
  <c r="V11" i="5"/>
  <c r="W11" i="5"/>
  <c r="D246" i="4"/>
  <c r="F181" i="4"/>
  <c r="D238" i="4"/>
  <c r="F268" i="4"/>
  <c r="E270" i="4" s="1"/>
  <c r="F270" i="4" s="1"/>
  <c r="F271" i="4" s="1"/>
  <c r="K256" i="4" s="1"/>
  <c r="F138" i="4"/>
  <c r="F263" i="4"/>
  <c r="I256" i="4" s="1"/>
  <c r="D231" i="4"/>
  <c r="M275" i="4"/>
  <c r="Q256" i="4"/>
  <c r="R256" i="4" s="1"/>
  <c r="S256" i="4" s="1"/>
  <c r="T256" i="4" s="1"/>
  <c r="F211" i="4"/>
  <c r="O256" i="4"/>
  <c r="I191" i="4"/>
  <c r="J99" i="4"/>
  <c r="F113" i="4"/>
  <c r="F114" i="4" s="1"/>
  <c r="K99" i="4" s="1"/>
  <c r="T456" i="4"/>
  <c r="V456" i="4"/>
  <c r="U280" i="4"/>
  <c r="E175" i="4"/>
  <c r="F175" i="4" s="1"/>
  <c r="F176" i="4" s="1"/>
  <c r="J194" i="4"/>
  <c r="K194" i="4" s="1"/>
  <c r="F203" i="4"/>
  <c r="I195" i="4" s="1"/>
  <c r="G191" i="4"/>
  <c r="F201" i="4"/>
  <c r="I193" i="4" s="1"/>
  <c r="F200" i="4"/>
  <c r="I192" i="4" s="1"/>
  <c r="L197" i="4"/>
  <c r="M197" i="4" s="1"/>
  <c r="W17" i="5" l="1"/>
  <c r="W55" i="5" s="1"/>
  <c r="X11" i="5"/>
  <c r="J133" i="4"/>
  <c r="K131" i="4"/>
  <c r="L131" i="4" s="1"/>
  <c r="M131" i="4" s="1"/>
  <c r="J256" i="4"/>
  <c r="L256" i="4" s="1"/>
  <c r="F272" i="4"/>
  <c r="E140" i="4"/>
  <c r="F140" i="4" s="1"/>
  <c r="D250" i="4"/>
  <c r="G225" i="4" s="1"/>
  <c r="M225" i="4" s="1"/>
  <c r="O225" i="4" s="1"/>
  <c r="F141" i="4"/>
  <c r="K133" i="4" s="1"/>
  <c r="L133" i="4" s="1"/>
  <c r="F142" i="4"/>
  <c r="L99" i="4"/>
  <c r="M99" i="4" s="1"/>
  <c r="O99" i="4" s="1"/>
  <c r="U256" i="4"/>
  <c r="O275" i="4"/>
  <c r="Q275" i="4"/>
  <c r="R275" i="4" s="1"/>
  <c r="S275" i="4" s="1"/>
  <c r="T275" i="4" s="1"/>
  <c r="U275" i="4" s="1"/>
  <c r="N197" i="4"/>
  <c r="O197" i="4"/>
  <c r="Q197" i="4"/>
  <c r="R197" i="4" s="1"/>
  <c r="S197" i="4" s="1"/>
  <c r="T197" i="4" s="1"/>
  <c r="U197" i="4" s="1"/>
  <c r="F182" i="4"/>
  <c r="I148" i="4"/>
  <c r="J192" i="4"/>
  <c r="K192" i="4" s="1"/>
  <c r="L192" i="4" s="1"/>
  <c r="M192" i="4" s="1"/>
  <c r="E205" i="4" a="1"/>
  <c r="E205" i="4" s="1"/>
  <c r="F205" i="4" s="1"/>
  <c r="F206" i="4" s="1"/>
  <c r="J193" i="4"/>
  <c r="K193" i="4" s="1"/>
  <c r="J195" i="4"/>
  <c r="K195" i="4" s="1"/>
  <c r="F115" i="4"/>
  <c r="J191" i="4"/>
  <c r="K191" i="4" s="1"/>
  <c r="L194" i="4"/>
  <c r="M194" i="4" s="1"/>
  <c r="N131" i="4" l="1"/>
  <c r="Q131" i="4"/>
  <c r="R131" i="4" s="1"/>
  <c r="S131" i="4" s="1"/>
  <c r="T131" i="4" s="1"/>
  <c r="U131" i="4" s="1"/>
  <c r="O131" i="4"/>
  <c r="N133" i="4"/>
  <c r="Q133" i="4"/>
  <c r="R133" i="4" s="1"/>
  <c r="S133" i="4" s="1"/>
  <c r="T133" i="4" s="1"/>
  <c r="U133" i="4" s="1"/>
  <c r="O133" i="4"/>
  <c r="N225" i="4"/>
  <c r="Q225" i="4"/>
  <c r="R225" i="4" s="1"/>
  <c r="S225" i="4" s="1"/>
  <c r="T225" i="4" s="1"/>
  <c r="T252" i="4" s="1"/>
  <c r="L191" i="4"/>
  <c r="M191" i="4" s="1"/>
  <c r="O191" i="4" s="1"/>
  <c r="Q99" i="4"/>
  <c r="R99" i="4" s="1"/>
  <c r="S99" i="4" s="1"/>
  <c r="T99" i="4" s="1"/>
  <c r="N99" i="4"/>
  <c r="L193" i="4"/>
  <c r="M193" i="4" s="1"/>
  <c r="Q193" i="4" s="1"/>
  <c r="R193" i="4" s="1"/>
  <c r="S193" i="4" s="1"/>
  <c r="T193" i="4" s="1"/>
  <c r="U193" i="4" s="1"/>
  <c r="T277" i="4"/>
  <c r="F212" i="4"/>
  <c r="E214" i="4" s="1"/>
  <c r="F214" i="4" s="1"/>
  <c r="F215" i="4" s="1"/>
  <c r="F216" i="4" s="1"/>
  <c r="E184" i="4"/>
  <c r="F184" i="4" s="1"/>
  <c r="F185" i="4" s="1"/>
  <c r="J148" i="4"/>
  <c r="N194" i="4"/>
  <c r="O194" i="4"/>
  <c r="Q194" i="4"/>
  <c r="R194" i="4" s="1"/>
  <c r="S194" i="4" s="1"/>
  <c r="T194" i="4" s="1"/>
  <c r="U194" i="4" s="1"/>
  <c r="N192" i="4"/>
  <c r="O192" i="4"/>
  <c r="Q192" i="4"/>
  <c r="R192" i="4" s="1"/>
  <c r="S192" i="4" s="1"/>
  <c r="T192" i="4" s="1"/>
  <c r="U192" i="4" s="1"/>
  <c r="L195" i="4"/>
  <c r="M195" i="4" s="1"/>
  <c r="T144" i="4" l="1"/>
  <c r="U225" i="4"/>
  <c r="O193" i="4"/>
  <c r="Q191" i="4"/>
  <c r="R191" i="4" s="1"/>
  <c r="S191" i="4" s="1"/>
  <c r="T191" i="4" s="1"/>
  <c r="U191" i="4" s="1"/>
  <c r="N191" i="4"/>
  <c r="U99" i="4"/>
  <c r="N193" i="4"/>
  <c r="N195" i="4"/>
  <c r="O195" i="4"/>
  <c r="Q195" i="4"/>
  <c r="R195" i="4" s="1"/>
  <c r="S195" i="4" s="1"/>
  <c r="T195" i="4" s="1"/>
  <c r="K148" i="4"/>
  <c r="L148" i="4" s="1"/>
  <c r="M148" i="4" s="1"/>
  <c r="F186" i="4"/>
  <c r="N148" i="4" l="1"/>
  <c r="O148" i="4"/>
  <c r="Q148" i="4"/>
  <c r="R148" i="4"/>
  <c r="S148" i="4" s="1"/>
  <c r="T148" i="4" s="1"/>
  <c r="M456" i="4"/>
  <c r="U195" i="4"/>
  <c r="T219" i="4"/>
  <c r="U148" i="4" l="1"/>
  <c r="T188" i="4"/>
  <c r="M90" i="4" l="1"/>
  <c r="O90" i="4" s="1"/>
  <c r="E78" i="4"/>
  <c r="F78" i="4" s="1"/>
  <c r="E77" i="4"/>
  <c r="F77" i="4" s="1"/>
  <c r="F74" i="4"/>
  <c r="F73" i="4"/>
  <c r="F72" i="4"/>
  <c r="F63" i="4"/>
  <c r="F62" i="4"/>
  <c r="F61" i="4"/>
  <c r="F60" i="4"/>
  <c r="F59" i="4"/>
  <c r="E56" i="4"/>
  <c r="F56" i="4" s="1"/>
  <c r="E55" i="4"/>
  <c r="F55" i="4" s="1"/>
  <c r="E54" i="4"/>
  <c r="F54" i="4" s="1"/>
  <c r="R50" i="4"/>
  <c r="F48" i="4"/>
  <c r="F47" i="4"/>
  <c r="F46" i="4"/>
  <c r="F45" i="4"/>
  <c r="F44" i="4"/>
  <c r="F49" i="4" s="1"/>
  <c r="E34" i="4"/>
  <c r="F34" i="4" s="1"/>
  <c r="F35" i="4" s="1"/>
  <c r="J25" i="4" s="1"/>
  <c r="F31" i="4"/>
  <c r="C30" i="4"/>
  <c r="F30" i="4" s="1"/>
  <c r="F29" i="4"/>
  <c r="E21" i="4"/>
  <c r="F21" i="4" s="1"/>
  <c r="E20" i="4"/>
  <c r="F20" i="4" s="1"/>
  <c r="F17" i="4"/>
  <c r="F16" i="4"/>
  <c r="F15" i="4"/>
  <c r="F14" i="4"/>
  <c r="F13" i="4"/>
  <c r="F79" i="4" l="1"/>
  <c r="E81" i="4" s="1"/>
  <c r="F81" i="4" s="1"/>
  <c r="F82" i="4" s="1"/>
  <c r="F18" i="4"/>
  <c r="I10" i="4" s="1"/>
  <c r="F75" i="4"/>
  <c r="F64" i="4"/>
  <c r="F22" i="4"/>
  <c r="F32" i="4"/>
  <c r="I41" i="4"/>
  <c r="M41" i="4"/>
  <c r="E66" i="4"/>
  <c r="F66" i="4" s="1"/>
  <c r="F67" i="4" s="1"/>
  <c r="K51" i="4" s="1"/>
  <c r="I51" i="4"/>
  <c r="F23" i="4"/>
  <c r="J10" i="4" s="1"/>
  <c r="L10" i="4" s="1"/>
  <c r="M10" i="4" s="1"/>
  <c r="F57" i="4"/>
  <c r="J51" i="4" s="1"/>
  <c r="N90" i="4"/>
  <c r="Q90" i="4"/>
  <c r="R90" i="4" s="1"/>
  <c r="S90" i="4" s="1"/>
  <c r="T90" i="4" s="1"/>
  <c r="U90" i="4" s="1"/>
  <c r="F68" i="4" l="1"/>
  <c r="F36" i="4"/>
  <c r="I25" i="4"/>
  <c r="L25" i="4" s="1"/>
  <c r="M25" i="4" s="1"/>
  <c r="Q10" i="4"/>
  <c r="O10" i="4"/>
  <c r="R10" i="4"/>
  <c r="S10" i="4" s="1"/>
  <c r="T10" i="4" s="1"/>
  <c r="L51" i="4"/>
  <c r="M51" i="4" s="1"/>
  <c r="O41" i="4"/>
  <c r="Q41" i="4"/>
  <c r="R41" i="4" s="1"/>
  <c r="S41" i="4" s="1"/>
  <c r="T41" i="4" s="1"/>
  <c r="U41" i="4" s="1"/>
  <c r="N41" i="4"/>
  <c r="U10" i="4" l="1"/>
  <c r="P25" i="4"/>
  <c r="Q25" i="4" s="1"/>
  <c r="R25" i="4" s="1"/>
  <c r="S25" i="4" s="1"/>
  <c r="T25" i="4" s="1"/>
  <c r="Q51" i="4"/>
  <c r="O51" i="4"/>
  <c r="N51" i="4"/>
  <c r="R51" i="4"/>
  <c r="S51" i="4" s="1"/>
  <c r="T51" i="4" s="1"/>
  <c r="U51" i="4" s="1"/>
  <c r="U25" i="4" l="1"/>
  <c r="M85" i="4" l="1"/>
  <c r="P85" i="4" l="1"/>
  <c r="Q85" i="4" s="1"/>
  <c r="R85" i="4" s="1"/>
  <c r="S85" i="4" s="1"/>
  <c r="T85" i="4" s="1"/>
  <c r="U85" i="4" l="1"/>
  <c r="T95" i="4"/>
  <c r="V277" i="4" s="1"/>
  <c r="T457" i="4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<sst xmlns="http://schemas.openxmlformats.org/spreadsheetml/2006/main" count="867" uniqueCount="278">
  <si>
    <t>DIV.</t>
  </si>
  <si>
    <t>DESCRIPTION</t>
  </si>
  <si>
    <t>QTY.</t>
  </si>
  <si>
    <t>UNIT</t>
  </si>
  <si>
    <t>MARK-UP</t>
  </si>
  <si>
    <t>TOTAL MARK-UP</t>
  </si>
  <si>
    <t>VAT</t>
  </si>
  <si>
    <t>TOTAL</t>
  </si>
  <si>
    <t>DIRECT COST</t>
  </si>
  <si>
    <t>OCM</t>
  </si>
  <si>
    <t>PROFIT</t>
  </si>
  <si>
    <t>%</t>
  </si>
  <si>
    <t>VALUE</t>
  </si>
  <si>
    <t>INDIRECT COST</t>
  </si>
  <si>
    <t>COST</t>
  </si>
  <si>
    <t>lot</t>
  </si>
  <si>
    <t>set</t>
  </si>
  <si>
    <t>sub-total=</t>
  </si>
  <si>
    <t>sq.m</t>
  </si>
  <si>
    <t>lm</t>
  </si>
  <si>
    <t>TOTAL =</t>
  </si>
  <si>
    <t>PLUMBING WORKS</t>
  </si>
  <si>
    <t xml:space="preserve">   c. Consumables</t>
  </si>
  <si>
    <t>lgths</t>
  </si>
  <si>
    <t>Project Location</t>
  </si>
  <si>
    <t>EQUIP</t>
  </si>
  <si>
    <t>ESTIMATED</t>
  </si>
  <si>
    <t>Temporary Facilities and Controls</t>
  </si>
  <si>
    <t>1.3.1</t>
  </si>
  <si>
    <t>1.3.2</t>
  </si>
  <si>
    <t>Mobilization / Demobilization (inclusive of freight cost)</t>
  </si>
  <si>
    <t>Temporary scaffolding and platforms</t>
  </si>
  <si>
    <t>Temporary utilities</t>
  </si>
  <si>
    <t>Construction Health and Safety Program</t>
  </si>
  <si>
    <t>Clearances/Permit Requirements</t>
  </si>
  <si>
    <t>As-Built Plans</t>
  </si>
  <si>
    <t>2.1.1</t>
  </si>
  <si>
    <t>Painting Works</t>
  </si>
  <si>
    <t>FINISHES</t>
  </si>
  <si>
    <t>SITEWORKS</t>
  </si>
  <si>
    <t>GENERAL REQUIREMENT</t>
  </si>
  <si>
    <t>Material</t>
  </si>
  <si>
    <t>Description</t>
  </si>
  <si>
    <t>Qty</t>
  </si>
  <si>
    <t>Unit</t>
  </si>
  <si>
    <t>Unit Cost</t>
  </si>
  <si>
    <t>Total Cost</t>
  </si>
  <si>
    <t>MP</t>
  </si>
  <si>
    <t>of Direct Cost</t>
  </si>
  <si>
    <t>Plans</t>
  </si>
  <si>
    <t>set/s</t>
  </si>
  <si>
    <t>No. of sheets (Tracing Paper)</t>
  </si>
  <si>
    <t>page/s</t>
  </si>
  <si>
    <t>No. of sheets (Blueprint)</t>
  </si>
  <si>
    <t>sht/s</t>
  </si>
  <si>
    <t>Signature</t>
  </si>
  <si>
    <t>parametric on DMGC project</t>
  </si>
  <si>
    <t>Misc.</t>
  </si>
  <si>
    <t>Material Cost</t>
  </si>
  <si>
    <t>Skilled</t>
  </si>
  <si>
    <t>m-day</t>
  </si>
  <si>
    <t>Labor Cost</t>
  </si>
  <si>
    <t>Safety Shoes</t>
  </si>
  <si>
    <t>pairs</t>
  </si>
  <si>
    <t xml:space="preserve">Hard Hat </t>
  </si>
  <si>
    <t>pcs</t>
  </si>
  <si>
    <t>Gloves</t>
  </si>
  <si>
    <t>Mask</t>
  </si>
  <si>
    <t>TOTAL COST</t>
  </si>
  <si>
    <t>Power</t>
  </si>
  <si>
    <t>Water</t>
  </si>
  <si>
    <t>Labor</t>
  </si>
  <si>
    <t>Platform</t>
  </si>
  <si>
    <t>2"x2"x12' Coco Lumber</t>
  </si>
  <si>
    <t>Signage</t>
  </si>
  <si>
    <t>2"x4"x12' Coco Lumber</t>
  </si>
  <si>
    <t xml:space="preserve"> Labor Cost</t>
  </si>
  <si>
    <t>Length</t>
  </si>
  <si>
    <t>LABOR</t>
  </si>
  <si>
    <t>MATS</t>
  </si>
  <si>
    <t>Width</t>
  </si>
  <si>
    <t>m</t>
  </si>
  <si>
    <t>Height</t>
  </si>
  <si>
    <t>Area</t>
  </si>
  <si>
    <t>TOTAL AREA</t>
  </si>
  <si>
    <t>lgt/s</t>
  </si>
  <si>
    <t>kg/s</t>
  </si>
  <si>
    <t>Equipment</t>
  </si>
  <si>
    <t>Equipment Cost</t>
  </si>
  <si>
    <t>Foreman</t>
  </si>
  <si>
    <t>minor tools</t>
  </si>
  <si>
    <t>10% of labor cost</t>
  </si>
  <si>
    <t>UNIT COST</t>
  </si>
  <si>
    <t>pc/s</t>
  </si>
  <si>
    <t xml:space="preserve"> </t>
  </si>
  <si>
    <t>4" PVC pipe</t>
  </si>
  <si>
    <t>Epoxy paint finish:</t>
  </si>
  <si>
    <t>14.4.1</t>
  </si>
  <si>
    <t>sub-total =</t>
  </si>
  <si>
    <t>ELECTRICAL WORKS</t>
  </si>
  <si>
    <t>Lighting Fixtures</t>
  </si>
  <si>
    <t>LED Strip Light (warm white)</t>
  </si>
  <si>
    <t>Wires and Cables</t>
  </si>
  <si>
    <t>5.5mm² 3C Royal cord wire</t>
  </si>
  <si>
    <t>3.5mm² THHN stranded (150m/roll)</t>
  </si>
  <si>
    <t>roll/s</t>
  </si>
  <si>
    <t>5.5mm² THHN stranded (150m/roll)</t>
  </si>
  <si>
    <t>14mm² THHN stranded</t>
  </si>
  <si>
    <t>50mm² THHN stranded</t>
  </si>
  <si>
    <t>Conduits and Fittings</t>
  </si>
  <si>
    <t>50mm dia RSC pipe (3m/pc) with adapter and locknut</t>
  </si>
  <si>
    <t>50mm dia RSC elbow</t>
  </si>
  <si>
    <t>50mm dia RSC coupling</t>
  </si>
  <si>
    <t>25mm dia PVC pipe (3m/pc) with adapter and locknut</t>
  </si>
  <si>
    <t>20mm dia PVC pipe (3m/pc) with adapter and locknut</t>
  </si>
  <si>
    <t>20mm dia flexible PVC pipe (50m/roll)</t>
  </si>
  <si>
    <t>20mmØ straight connector</t>
  </si>
  <si>
    <t>20mmØ angle connector</t>
  </si>
  <si>
    <t>Boxes</t>
  </si>
  <si>
    <t>Pullbox (GA#16)</t>
  </si>
  <si>
    <t>Junction box with cover (PVC)</t>
  </si>
  <si>
    <t>Utility box (PVC)</t>
  </si>
  <si>
    <t>14.5.7</t>
  </si>
  <si>
    <t>14.6.1</t>
  </si>
  <si>
    <t>14.6.2</t>
  </si>
  <si>
    <t>14.6.3</t>
  </si>
  <si>
    <t>14.6.4</t>
  </si>
  <si>
    <t>14.6.5</t>
  </si>
  <si>
    <t>14.6.6</t>
  </si>
  <si>
    <t>14.6.7</t>
  </si>
  <si>
    <t>14.7.1</t>
  </si>
  <si>
    <t>14.7.2</t>
  </si>
  <si>
    <t>14.7.3</t>
  </si>
  <si>
    <t>14.8.1</t>
  </si>
  <si>
    <t>14.8.2</t>
  </si>
  <si>
    <t>14.8.3</t>
  </si>
  <si>
    <t>14.6.8</t>
  </si>
  <si>
    <t>Chipping, Dismantling, and Demolition works</t>
  </si>
  <si>
    <t>CHECKER</t>
  </si>
  <si>
    <t>Project Name</t>
  </si>
  <si>
    <t>Safety Officer 2</t>
  </si>
  <si>
    <t>First Aider</t>
  </si>
  <si>
    <t>Liason</t>
  </si>
  <si>
    <t>Barracks</t>
  </si>
  <si>
    <t>months</t>
  </si>
  <si>
    <t>Plumbing Fixures</t>
  </si>
  <si>
    <t>1.2x1.7m H-frame</t>
  </si>
  <si>
    <t>Clamp</t>
  </si>
  <si>
    <t>Misc</t>
  </si>
  <si>
    <t>Base jack</t>
  </si>
  <si>
    <t>9.1.7</t>
  </si>
  <si>
    <t>Welding rods</t>
  </si>
  <si>
    <t>1-15W E-27 LED bulb (daylight) in 6" dia w/ silver reflector E-27 socket lighting fixture (recessed mounted)</t>
  </si>
  <si>
    <t>3.5mm² 3C Royal cord wire</t>
  </si>
  <si>
    <t>8.0mm² THHN stranded</t>
  </si>
  <si>
    <t>30mm² THHN stranded</t>
  </si>
  <si>
    <t>14.5.8</t>
  </si>
  <si>
    <t>100mm² THHN stranded</t>
  </si>
  <si>
    <t>14.6.9</t>
  </si>
  <si>
    <t>14.7.4</t>
  </si>
  <si>
    <t>14.7.5</t>
  </si>
  <si>
    <t>14.7.6</t>
  </si>
  <si>
    <t>14.7.7</t>
  </si>
  <si>
    <t>14.7.8</t>
  </si>
  <si>
    <t>Prepared by:</t>
  </si>
  <si>
    <t>Reviewed by:</t>
  </si>
  <si>
    <t>Recommended by:</t>
  </si>
  <si>
    <t>Noted by:</t>
  </si>
  <si>
    <t>SM ERICK M. VALIDO</t>
  </si>
  <si>
    <t>SM ALBERTO SANTIAGO A. BERMEJO</t>
  </si>
  <si>
    <t>Technical Staff, PCMU-CFMD</t>
  </si>
  <si>
    <t>OIC, PCMU-CFMD</t>
  </si>
  <si>
    <t xml:space="preserve">Concurrent OIC, CFMD
</t>
  </si>
  <si>
    <t>Per Office Order No. 325 dated 14 July 2025</t>
  </si>
  <si>
    <t>Per Office Order No. 412 dated 15 July 2024</t>
  </si>
  <si>
    <t>ENGR. JUDE MATTHEW V. MERINO</t>
  </si>
  <si>
    <t>PDO I, PCMU-CFMD</t>
  </si>
  <si>
    <t>RENOVATION / REHABILOTATION OF PARKING GARAGE AT DBP LEGAZPI</t>
  </si>
  <si>
    <t>DBP Building, Quezon Ave, Barangay Dinagaan, 
Legazpi City, Albay</t>
  </si>
  <si>
    <t>Steel Truss</t>
  </si>
  <si>
    <t>ENGR. AIMEE CLAIRE C. LOSITAÑO</t>
  </si>
  <si>
    <t>ENGR. JESSIE E. DEGADO</t>
  </si>
  <si>
    <t>Acting Head, PCMU-CFMD Luzon Team Team</t>
  </si>
  <si>
    <t xml:space="preserve">  Per Office Order No. 325 dated 14 July 2025</t>
  </si>
  <si>
    <t>0.60mm Pre-Painted Rib-type Roofing</t>
  </si>
  <si>
    <t>0.60mm Pre-Painted Box Gutter</t>
  </si>
  <si>
    <t>sqm</t>
  </si>
  <si>
    <t>1.5mm thk. 25mm x 50mm BI Tubular</t>
  </si>
  <si>
    <t>1.5mm thk. 50mm x 125mm BI Tubular</t>
  </si>
  <si>
    <t>General Cleaning / Hauling of debris</t>
  </si>
  <si>
    <t>0.60mm Pre-Painted Flashing</t>
  </si>
  <si>
    <t>0.60mm Pre-Painted Ridge Roll</t>
  </si>
  <si>
    <t>ROOFING WORKS</t>
  </si>
  <si>
    <t>Tekscrew</t>
  </si>
  <si>
    <t xml:space="preserve">   a.Steel trusses</t>
  </si>
  <si>
    <t>depth</t>
  </si>
  <si>
    <t>Pipes and fittings</t>
  </si>
  <si>
    <t xml:space="preserve">   a. 3" Ø PVC pipe for downspout (3m/lght)</t>
  </si>
  <si>
    <t xml:space="preserve">   b. Fittings and accessories </t>
  </si>
  <si>
    <t>1" flat bar (hanger support for gutter)</t>
  </si>
  <si>
    <t>STEEL WORKS</t>
  </si>
  <si>
    <t>1 1/2" Angle Bar (angle cleat)</t>
  </si>
  <si>
    <t>Roofing Materials</t>
  </si>
  <si>
    <t>1.5mm thk. 50mm x 100mm BI Tubular</t>
  </si>
  <si>
    <t>Fascia Board</t>
  </si>
  <si>
    <t>l2</t>
  </si>
  <si>
    <t>Earthworks</t>
  </si>
  <si>
    <t>hr</t>
  </si>
  <si>
    <t>pc</t>
  </si>
  <si>
    <t>days</t>
  </si>
  <si>
    <t>Volume</t>
  </si>
  <si>
    <t>cu.m</t>
  </si>
  <si>
    <t>Septic tank</t>
  </si>
  <si>
    <t>Chipping of concrete pavement for septic tank</t>
  </si>
  <si>
    <t>mini dump truck</t>
  </si>
  <si>
    <t>shovel</t>
  </si>
  <si>
    <t>jackhammer</t>
  </si>
  <si>
    <t>air compressor</t>
  </si>
  <si>
    <t>2.2.1</t>
  </si>
  <si>
    <t>Excavation works (septic tank)</t>
  </si>
  <si>
    <t>2.2.2Gravel bedding (75mm) - septic tank</t>
  </si>
  <si>
    <t>RENOVATION / REHABILITATION OF SEPTIC TANK AT DBP LEGAZPI</t>
  </si>
  <si>
    <t>ITEM / SCOPE OF WORKS</t>
  </si>
  <si>
    <t>Estimated 
Direct Cost</t>
  </si>
  <si>
    <t>Mark up</t>
  </si>
  <si>
    <t>Total Mark-up</t>
  </si>
  <si>
    <t>Check</t>
  </si>
  <si>
    <t>Total
Indirect Cost</t>
  </si>
  <si>
    <t>Profit</t>
  </si>
  <si>
    <t>Value</t>
  </si>
  <si>
    <t>GENERAL REQUIREMENTS</t>
  </si>
  <si>
    <t>Mobilization/Demobilization (inclusive of freight cost)</t>
  </si>
  <si>
    <t>1% of works</t>
  </si>
  <si>
    <t>Temporary Facilities and Utilities</t>
  </si>
  <si>
    <t xml:space="preserve">Health and Safety </t>
  </si>
  <si>
    <t>SITE WORKS</t>
  </si>
  <si>
    <t>Chipping, Dismantling and Demolition Works</t>
  </si>
  <si>
    <t>Chipping of concrete pavement on parking for the septic tank</t>
  </si>
  <si>
    <t>2.2.2</t>
  </si>
  <si>
    <t>Gravel bedding (100mm) - septic tank</t>
  </si>
  <si>
    <t>General Cleaning and Hauling of Debris</t>
  </si>
  <si>
    <t>2.3.1</t>
  </si>
  <si>
    <t>General cleaning</t>
  </si>
  <si>
    <t>2.3.2</t>
  </si>
  <si>
    <t>Hauling of construction debris</t>
  </si>
  <si>
    <t>CONCRETE WORKS</t>
  </si>
  <si>
    <t>Form Works and Scaffolds</t>
  </si>
  <si>
    <t>Concrete Members</t>
  </si>
  <si>
    <t>3.2.1</t>
  </si>
  <si>
    <t xml:space="preserve">Dimensions: </t>
  </si>
  <si>
    <t>5000mm (L) x 2300mm (W) x 2400mm (H)</t>
  </si>
  <si>
    <t>Location: Beside Cash Center</t>
  </si>
  <si>
    <t>METAL WORKS</t>
  </si>
  <si>
    <t>Reinforcing Bars</t>
  </si>
  <si>
    <t>4.1.1</t>
  </si>
  <si>
    <t>PLUMBING</t>
  </si>
  <si>
    <t>Septic Tank System</t>
  </si>
  <si>
    <t>5.1.1</t>
  </si>
  <si>
    <t>4" Ø PVC sanitary pipe (3m/lgt)</t>
  </si>
  <si>
    <t>5.1.2</t>
  </si>
  <si>
    <t>Fittings and accessories</t>
  </si>
  <si>
    <t>(sanitary tee, cleanout, etc.)</t>
  </si>
  <si>
    <t>5.1.3</t>
  </si>
  <si>
    <t>Tapping of existing sanitary system to the new septic tank</t>
  </si>
  <si>
    <t>5.1.4</t>
  </si>
  <si>
    <t>Connecting to the local sewer line</t>
  </si>
  <si>
    <t>Total Cost =</t>
  </si>
  <si>
    <t xml:space="preserve">Excavation works </t>
  </si>
  <si>
    <t>2.2.3</t>
  </si>
  <si>
    <t>2.3.3</t>
  </si>
  <si>
    <t>Decommissioning / siphoning of existing septic tank</t>
  </si>
  <si>
    <t>4.1.2</t>
  </si>
  <si>
    <t>Manhole cover with 12mm roundbar handle</t>
  </si>
  <si>
    <t>5.1.5</t>
  </si>
  <si>
    <t>Waterstop for concrete joints</t>
  </si>
  <si>
    <t>5.1.6</t>
  </si>
  <si>
    <t>Cementitious waterproofing</t>
  </si>
  <si>
    <t>Backfilling / Embankment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</si>
</sst>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₱&quot;* #,##0.00_-;\-&quot;₱&quot;* #,##0.00_-;_-&quot;₱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0.000"/>
    <numFmt numFmtId="167" formatCode="0.0000"/>
    <numFmt numFmtId="168" formatCode="0.0"/>
    <numFmt numFmtId="169" formatCode="#,##0.000"/>
    <numFmt numFmtId="170" formatCode="[$-409]mmmm\ d\,\ yyyy;@"/>
    <numFmt numFmtId="171" formatCode="_-* #,##0.0000_-;\-* #,##0.0000_-;_-* &quot;-&quot;??_-;_-@_-"/>
  </numFmts>
  <fonts count="35" x14ac:knownFonts="1">
    <font>
      <sz val="10"/>
      <name val="Dutch801 Rm BT"/>
      <family val="1"/>
    </font>
    <font>
      <sz val="10"/>
      <name val="Dutch801 Rm BT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u/>
      <sz val="10"/>
      <color rgb="FFFF0000"/>
      <name val="Arial"/>
      <family val="2"/>
    </font>
    <font>
      <u/>
      <sz val="10"/>
      <color rgb="FFFF000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u val="singleAccounting"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u val="singleAccounting"/>
      <sz val="10"/>
      <color indexed="10"/>
      <name val="Arial"/>
      <family val="2"/>
    </font>
    <font>
      <sz val="8"/>
      <color rgb="FFFF0000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  <font>
      <u val="singleAccounting"/>
      <sz val="10"/>
      <name val="Tahoma"/>
      <family val="2"/>
    </font>
    <font>
      <sz val="10"/>
      <color rgb="FFFF0000"/>
      <name val="Tahoma"/>
      <family val="2"/>
    </font>
    <font>
      <sz val="18"/>
      <color rgb="FFFF0000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0"/>
      <name val="Dutch801 Rm BT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4" fillId="0" borderId="0"/>
  </cellStyleXfs>
  <cellXfs count="649">
    <xf numFmtId="0" fontId="0" fillId="0" borderId="0" xfId="0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9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9" fontId="5" fillId="0" borderId="0" xfId="0" applyNumberFormat="1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3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43" fontId="5" fillId="0" borderId="0" xfId="5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/>
    </xf>
    <xf numFmtId="9" fontId="4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3" fontId="10" fillId="0" borderId="0" xfId="0" applyNumberFormat="1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horizontal="right" vertical="center"/>
    </xf>
    <xf numFmtId="43" fontId="9" fillId="0" borderId="0" xfId="0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vertical="center"/>
    </xf>
    <xf numFmtId="2" fontId="5" fillId="0" borderId="0" xfId="1" applyNumberFormat="1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/>
    </xf>
    <xf numFmtId="2" fontId="5" fillId="0" borderId="0" xfId="5" applyNumberFormat="1" applyFont="1" applyFill="1" applyBorder="1" applyAlignment="1">
      <alignment horizontal="center" vertical="center"/>
    </xf>
    <xf numFmtId="2" fontId="5" fillId="0" borderId="0" xfId="7" applyNumberFormat="1" applyFont="1" applyFill="1" applyBorder="1" applyAlignment="1">
      <alignment horizontal="center" vertical="center"/>
    </xf>
    <xf numFmtId="164" fontId="5" fillId="0" borderId="0" xfId="7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vertical="center"/>
    </xf>
    <xf numFmtId="4" fontId="11" fillId="0" borderId="0" xfId="5" applyNumberFormat="1" applyFont="1" applyFill="1" applyBorder="1" applyAlignment="1">
      <alignment vertical="center"/>
    </xf>
    <xf numFmtId="169" fontId="3" fillId="0" borderId="0" xfId="0" applyNumberFormat="1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horizontal="center" vertical="center"/>
    </xf>
    <xf numFmtId="169" fontId="6" fillId="0" borderId="0" xfId="0" applyNumberFormat="1" applyFont="1" applyFill="1" applyBorder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169" fontId="3" fillId="0" borderId="0" xfId="0" applyNumberFormat="1" applyFont="1" applyFill="1" applyBorder="1" applyAlignment="1">
      <alignment horizontal="center" vertical="center"/>
    </xf>
    <xf numFmtId="169" fontId="1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5" fillId="0" borderId="0" xfId="5" applyNumberFormat="1" applyFont="1" applyFill="1" applyBorder="1" applyAlignment="1">
      <alignment vertical="center"/>
    </xf>
    <xf numFmtId="164" fontId="4" fillId="0" borderId="0" xfId="7" applyFont="1" applyFill="1" applyBorder="1" applyAlignment="1">
      <alignment vertical="center"/>
    </xf>
    <xf numFmtId="4" fontId="5" fillId="0" borderId="0" xfId="5" applyNumberFormat="1" applyFont="1" applyFill="1" applyBorder="1" applyAlignment="1">
      <alignment horizontal="left" vertical="center" indent="2"/>
    </xf>
    <xf numFmtId="4" fontId="3" fillId="0" borderId="0" xfId="5" applyNumberFormat="1" applyFont="1" applyFill="1" applyBorder="1" applyAlignment="1">
      <alignment horizontal="left" vertical="center"/>
    </xf>
    <xf numFmtId="4" fontId="3" fillId="0" borderId="0" xfId="5" applyNumberFormat="1" applyFont="1" applyFill="1" applyBorder="1" applyAlignment="1">
      <alignment vertical="center"/>
    </xf>
    <xf numFmtId="4" fontId="6" fillId="0" borderId="0" xfId="5" applyNumberFormat="1" applyFont="1" applyFill="1" applyBorder="1" applyAlignment="1">
      <alignment horizontal="center" vertical="center"/>
    </xf>
    <xf numFmtId="4" fontId="4" fillId="0" borderId="0" xfId="5" applyNumberFormat="1" applyFont="1" applyFill="1" applyBorder="1" applyAlignment="1">
      <alignment horizontal="center" vertical="center"/>
    </xf>
    <xf numFmtId="4" fontId="5" fillId="0" borderId="0" xfId="5" applyNumberFormat="1" applyFont="1" applyFill="1" applyBorder="1" applyAlignment="1">
      <alignment horizontal="right" vertical="center"/>
    </xf>
    <xf numFmtId="4" fontId="3" fillId="0" borderId="0" xfId="5" applyNumberFormat="1" applyFont="1" applyFill="1" applyBorder="1" applyAlignment="1" applyProtection="1">
      <alignment horizontal="center" vertical="center"/>
      <protection hidden="1"/>
    </xf>
    <xf numFmtId="164" fontId="14" fillId="0" borderId="0" xfId="6" applyFont="1" applyFill="1" applyBorder="1" applyAlignment="1" applyProtection="1">
      <alignment horizontal="right" vertical="center"/>
      <protection hidden="1"/>
    </xf>
    <xf numFmtId="4" fontId="5" fillId="0" borderId="0" xfId="5" applyNumberFormat="1" applyFont="1" applyFill="1" applyBorder="1" applyAlignment="1">
      <alignment horizontal="center" vertical="center"/>
    </xf>
    <xf numFmtId="4" fontId="3" fillId="0" borderId="0" xfId="5" applyNumberFormat="1" applyFont="1" applyFill="1" applyBorder="1" applyAlignment="1">
      <alignment horizontal="center" vertical="center"/>
    </xf>
    <xf numFmtId="164" fontId="6" fillId="0" borderId="0" xfId="7" applyFont="1" applyFill="1" applyBorder="1" applyAlignment="1">
      <alignment horizontal="right" vertical="center"/>
    </xf>
    <xf numFmtId="164" fontId="5" fillId="0" borderId="0" xfId="6" applyFont="1" applyFill="1" applyBorder="1" applyAlignment="1" applyProtection="1">
      <alignment vertical="center"/>
      <protection hidden="1"/>
    </xf>
    <xf numFmtId="164" fontId="14" fillId="0" borderId="0" xfId="6" applyFont="1" applyFill="1" applyBorder="1" applyAlignment="1">
      <alignment horizontal="right" vertical="center"/>
    </xf>
    <xf numFmtId="164" fontId="5" fillId="0" borderId="0" xfId="6" applyFont="1" applyFill="1" applyBorder="1" applyAlignment="1">
      <alignment vertical="center"/>
    </xf>
    <xf numFmtId="4" fontId="13" fillId="0" borderId="0" xfId="5" applyNumberFormat="1" applyFont="1" applyFill="1" applyBorder="1" applyAlignment="1">
      <alignment horizontal="right" vertical="center"/>
    </xf>
    <xf numFmtId="4" fontId="13" fillId="0" borderId="0" xfId="5" applyNumberFormat="1" applyFont="1" applyFill="1" applyBorder="1" applyAlignment="1">
      <alignment horizontal="center" vertical="center"/>
    </xf>
    <xf numFmtId="4" fontId="11" fillId="0" borderId="0" xfId="5" applyNumberFormat="1" applyFont="1" applyFill="1" applyBorder="1" applyAlignment="1" applyProtection="1">
      <alignment horizontal="right" vertical="center"/>
      <protection hidden="1"/>
    </xf>
    <xf numFmtId="4" fontId="11" fillId="0" borderId="0" xfId="5" applyNumberFormat="1" applyFont="1" applyFill="1" applyBorder="1" applyAlignment="1" applyProtection="1">
      <alignment horizontal="center" vertical="center"/>
      <protection hidden="1"/>
    </xf>
    <xf numFmtId="4" fontId="11" fillId="0" borderId="0" xfId="5" applyNumberFormat="1" applyFont="1" applyFill="1" applyBorder="1" applyAlignment="1">
      <alignment horizontal="center" vertical="center"/>
    </xf>
    <xf numFmtId="4" fontId="5" fillId="0" borderId="0" xfId="5" applyNumberFormat="1" applyFont="1" applyFill="1" applyBorder="1" applyAlignment="1">
      <alignment horizontal="left" vertical="center"/>
    </xf>
    <xf numFmtId="4" fontId="4" fillId="0" borderId="0" xfId="5" applyNumberFormat="1" applyFont="1" applyFill="1" applyBorder="1" applyAlignment="1">
      <alignment horizontal="right" vertical="center"/>
    </xf>
    <xf numFmtId="4" fontId="5" fillId="0" borderId="0" xfId="5" applyNumberFormat="1" applyFont="1" applyFill="1" applyBorder="1" applyAlignment="1" applyProtection="1">
      <alignment horizontal="right" vertical="center"/>
      <protection hidden="1"/>
    </xf>
    <xf numFmtId="4" fontId="5" fillId="0" borderId="0" xfId="5" applyNumberFormat="1" applyFont="1" applyFill="1" applyBorder="1" applyAlignment="1" applyProtection="1">
      <alignment horizontal="center" vertical="center"/>
      <protection hidden="1"/>
    </xf>
    <xf numFmtId="0" fontId="5" fillId="0" borderId="0" xfId="5" applyFont="1" applyFill="1" applyBorder="1" applyAlignment="1">
      <alignment horizontal="center" vertical="center"/>
    </xf>
    <xf numFmtId="164" fontId="5" fillId="0" borderId="0" xfId="7" applyFont="1" applyFill="1" applyBorder="1" applyAlignment="1">
      <alignment horizontal="right" vertical="center"/>
    </xf>
    <xf numFmtId="4" fontId="4" fillId="0" borderId="0" xfId="7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vertical="center"/>
    </xf>
    <xf numFmtId="164" fontId="5" fillId="0" borderId="0" xfId="5" applyNumberFormat="1" applyFont="1" applyFill="1" applyBorder="1" applyAlignment="1">
      <alignment vertical="center"/>
    </xf>
    <xf numFmtId="4" fontId="5" fillId="0" borderId="0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left" vertical="center" indent="2"/>
    </xf>
    <xf numFmtId="167" fontId="5" fillId="0" borderId="0" xfId="7" applyNumberFormat="1" applyFont="1" applyFill="1" applyBorder="1" applyAlignment="1">
      <alignment horizontal="center" vertical="center"/>
    </xf>
    <xf numFmtId="164" fontId="5" fillId="0" borderId="0" xfId="6" applyFont="1" applyFill="1" applyBorder="1" applyAlignment="1" applyProtection="1">
      <alignment horizontal="right" vertical="center"/>
      <protection hidden="1"/>
    </xf>
    <xf numFmtId="169" fontId="3" fillId="0" borderId="0" xfId="5" applyNumberFormat="1" applyFont="1" applyFill="1" applyBorder="1" applyAlignment="1">
      <alignment vertical="center"/>
    </xf>
    <xf numFmtId="164" fontId="5" fillId="0" borderId="0" xfId="5" applyNumberFormat="1" applyFont="1" applyFill="1" applyBorder="1" applyAlignment="1">
      <alignment horizontal="left" vertical="center" indent="2"/>
    </xf>
    <xf numFmtId="164" fontId="16" fillId="0" borderId="0" xfId="7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3" fillId="0" borderId="0" xfId="6" applyFont="1" applyFill="1" applyBorder="1" applyAlignment="1" applyProtection="1">
      <alignment horizontal="right" vertical="center"/>
      <protection hidden="1"/>
    </xf>
    <xf numFmtId="164" fontId="3" fillId="0" borderId="0" xfId="6" applyFont="1" applyFill="1" applyBorder="1" applyAlignment="1">
      <alignment horizontal="right" vertical="center"/>
    </xf>
    <xf numFmtId="165" fontId="6" fillId="0" borderId="0" xfId="1" applyFont="1" applyFill="1" applyBorder="1" applyAlignment="1">
      <alignment horizontal="right" vertical="center"/>
    </xf>
    <xf numFmtId="165" fontId="4" fillId="0" borderId="0" xfId="1" applyFont="1" applyFill="1" applyBorder="1" applyAlignment="1">
      <alignment horizontal="right" vertical="center"/>
    </xf>
    <xf numFmtId="164" fontId="5" fillId="0" borderId="0" xfId="6" applyFont="1" applyFill="1" applyBorder="1" applyAlignment="1">
      <alignment horizontal="right" vertical="center"/>
    </xf>
    <xf numFmtId="165" fontId="6" fillId="0" borderId="0" xfId="1" applyFont="1" applyFill="1" applyBorder="1" applyAlignment="1">
      <alignment horizontal="left" vertical="center"/>
    </xf>
    <xf numFmtId="164" fontId="5" fillId="0" borderId="0" xfId="6" applyFont="1" applyFill="1" applyBorder="1" applyAlignment="1">
      <alignment horizontal="left" vertical="center"/>
    </xf>
    <xf numFmtId="165" fontId="4" fillId="0" borderId="0" xfId="1" applyFont="1" applyFill="1" applyBorder="1" applyAlignment="1">
      <alignment horizontal="left" vertical="center"/>
    </xf>
    <xf numFmtId="164" fontId="14" fillId="0" borderId="0" xfId="7" applyFont="1" applyFill="1" applyBorder="1" applyAlignment="1">
      <alignment horizontal="center" vertical="center"/>
    </xf>
    <xf numFmtId="4" fontId="15" fillId="0" borderId="0" xfId="5" applyNumberFormat="1" applyFont="1" applyFill="1" applyBorder="1" applyAlignment="1" applyProtection="1">
      <alignment horizontal="center" vertical="center"/>
      <protection hidden="1"/>
    </xf>
    <xf numFmtId="164" fontId="15" fillId="0" borderId="0" xfId="6" applyFont="1" applyFill="1" applyBorder="1" applyAlignment="1" applyProtection="1">
      <alignment horizontal="left" vertical="center"/>
      <protection hidden="1"/>
    </xf>
    <xf numFmtId="4" fontId="16" fillId="0" borderId="0" xfId="5" applyNumberFormat="1" applyFont="1" applyFill="1" applyBorder="1" applyAlignment="1">
      <alignment horizontal="center" vertical="center"/>
    </xf>
    <xf numFmtId="4" fontId="16" fillId="0" borderId="0" xfId="5" applyNumberFormat="1" applyFont="1" applyFill="1" applyBorder="1" applyAlignment="1">
      <alignment horizontal="left" vertical="center"/>
    </xf>
    <xf numFmtId="164" fontId="15" fillId="0" borderId="0" xfId="6" applyFont="1" applyFill="1" applyBorder="1" applyAlignment="1" applyProtection="1">
      <alignment horizontal="right" vertical="center"/>
      <protection hidden="1"/>
    </xf>
    <xf numFmtId="4" fontId="15" fillId="0" borderId="0" xfId="5" applyNumberFormat="1" applyFont="1" applyFill="1" applyBorder="1" applyAlignment="1">
      <alignment horizontal="center" vertical="center"/>
    </xf>
    <xf numFmtId="165" fontId="16" fillId="0" borderId="0" xfId="1" applyFont="1" applyFill="1" applyBorder="1" applyAlignment="1">
      <alignment horizontal="right" vertical="center"/>
    </xf>
    <xf numFmtId="164" fontId="15" fillId="0" borderId="0" xfId="6" applyFont="1" applyFill="1" applyBorder="1" applyAlignment="1">
      <alignment horizontal="right" vertical="center"/>
    </xf>
    <xf numFmtId="0" fontId="11" fillId="3" borderId="0" xfId="5" applyFont="1" applyFill="1" applyBorder="1" applyAlignment="1">
      <alignment vertical="center"/>
    </xf>
    <xf numFmtId="169" fontId="3" fillId="3" borderId="0" xfId="7" applyNumberFormat="1" applyFont="1" applyFill="1" applyBorder="1" applyAlignment="1">
      <alignment vertical="center"/>
    </xf>
    <xf numFmtId="166" fontId="3" fillId="3" borderId="0" xfId="7" applyNumberFormat="1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9" fontId="3" fillId="3" borderId="0" xfId="1" applyNumberFormat="1" applyFont="1" applyFill="1" applyBorder="1" applyAlignment="1">
      <alignment vertical="center"/>
    </xf>
    <xf numFmtId="166" fontId="3" fillId="3" borderId="0" xfId="1" applyNumberFormat="1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horizontal="left" vertical="center" indent="2"/>
    </xf>
    <xf numFmtId="4" fontId="11" fillId="3" borderId="0" xfId="5" applyNumberFormat="1" applyFont="1" applyFill="1" applyBorder="1" applyAlignment="1">
      <alignment vertical="center"/>
    </xf>
    <xf numFmtId="166" fontId="11" fillId="3" borderId="0" xfId="7" applyNumberFormat="1" applyFont="1" applyFill="1" applyBorder="1" applyAlignment="1">
      <alignment vertical="center"/>
    </xf>
    <xf numFmtId="164" fontId="11" fillId="3" borderId="0" xfId="5" applyNumberFormat="1" applyFont="1" applyFill="1" applyBorder="1" applyAlignment="1">
      <alignment vertical="center"/>
    </xf>
    <xf numFmtId="2" fontId="3" fillId="0" borderId="0" xfId="5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6" xfId="5" applyFont="1" applyFill="1" applyBorder="1" applyAlignment="1">
      <alignment vertical="center"/>
    </xf>
    <xf numFmtId="4" fontId="4" fillId="0" borderId="5" xfId="5" applyNumberFormat="1" applyFont="1" applyFill="1" applyBorder="1" applyAlignment="1">
      <alignment horizontal="right" vertical="center"/>
    </xf>
    <xf numFmtId="4" fontId="5" fillId="0" borderId="5" xfId="5" applyNumberFormat="1" applyFont="1" applyFill="1" applyBorder="1" applyAlignment="1">
      <alignment horizontal="right" vertical="center"/>
    </xf>
    <xf numFmtId="9" fontId="5" fillId="0" borderId="6" xfId="4" applyFont="1" applyFill="1" applyBorder="1" applyAlignment="1">
      <alignment horizontal="center" vertical="center"/>
    </xf>
    <xf numFmtId="4" fontId="5" fillId="0" borderId="5" xfId="5" applyNumberFormat="1" applyFont="1" applyFill="1" applyBorder="1" applyAlignment="1">
      <alignment vertical="center"/>
    </xf>
    <xf numFmtId="165" fontId="5" fillId="0" borderId="6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10" fontId="5" fillId="0" borderId="5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/>
    </xf>
    <xf numFmtId="0" fontId="5" fillId="0" borderId="12" xfId="5" applyFont="1" applyFill="1" applyBorder="1" applyAlignment="1">
      <alignment vertical="center"/>
    </xf>
    <xf numFmtId="4" fontId="4" fillId="0" borderId="12" xfId="5" applyNumberFormat="1" applyFont="1" applyFill="1" applyBorder="1" applyAlignment="1">
      <alignment horizontal="right" vertical="center"/>
    </xf>
    <xf numFmtId="4" fontId="5" fillId="0" borderId="12" xfId="5" applyNumberFormat="1" applyFont="1" applyFill="1" applyBorder="1" applyAlignment="1">
      <alignment horizontal="right" vertical="center"/>
    </xf>
    <xf numFmtId="4" fontId="5" fillId="0" borderId="12" xfId="5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10" fontId="5" fillId="0" borderId="12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3" fillId="0" borderId="12" xfId="5" applyFont="1" applyFill="1" applyBorder="1" applyAlignment="1">
      <alignment vertical="center"/>
    </xf>
    <xf numFmtId="0" fontId="5" fillId="0" borderId="12" xfId="5" applyFont="1" applyFill="1" applyBorder="1" applyAlignment="1">
      <alignment horizontal="right" vertical="center"/>
    </xf>
    <xf numFmtId="4" fontId="6" fillId="0" borderId="12" xfId="5" applyNumberFormat="1" applyFont="1" applyFill="1" applyBorder="1" applyAlignment="1">
      <alignment horizontal="right" vertical="center"/>
    </xf>
    <xf numFmtId="4" fontId="3" fillId="0" borderId="12" xfId="5" applyNumberFormat="1" applyFont="1" applyFill="1" applyBorder="1" applyAlignment="1">
      <alignment horizontal="right" vertical="center"/>
    </xf>
    <xf numFmtId="4" fontId="3" fillId="0" borderId="12" xfId="5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1" fillId="0" borderId="12" xfId="5" applyFont="1" applyFill="1" applyBorder="1" applyAlignment="1">
      <alignment vertical="center"/>
    </xf>
    <xf numFmtId="4" fontId="11" fillId="0" borderId="12" xfId="5" applyNumberFormat="1" applyFont="1" applyFill="1" applyBorder="1" applyAlignment="1">
      <alignment vertical="center"/>
    </xf>
    <xf numFmtId="168" fontId="5" fillId="0" borderId="12" xfId="5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5" applyFont="1" applyFill="1" applyBorder="1" applyAlignment="1">
      <alignment vertical="center"/>
    </xf>
    <xf numFmtId="4" fontId="6" fillId="0" borderId="6" xfId="5" applyNumberFormat="1" applyFont="1" applyFill="1" applyBorder="1" applyAlignment="1">
      <alignment horizontal="center" vertical="center"/>
    </xf>
    <xf numFmtId="4" fontId="5" fillId="0" borderId="5" xfId="5" applyNumberFormat="1" applyFont="1" applyFill="1" applyBorder="1" applyAlignment="1" applyProtection="1">
      <alignment horizontal="right" vertical="center"/>
      <protection hidden="1"/>
    </xf>
    <xf numFmtId="164" fontId="3" fillId="0" borderId="6" xfId="6" applyFont="1" applyFill="1" applyBorder="1" applyAlignment="1" applyProtection="1">
      <alignment horizontal="right" vertical="center"/>
      <protection hidden="1"/>
    </xf>
    <xf numFmtId="164" fontId="17" fillId="0" borderId="6" xfId="6" applyFont="1" applyFill="1" applyBorder="1" applyAlignment="1" applyProtection="1">
      <alignment horizontal="right" vertical="center"/>
      <protection hidden="1"/>
    </xf>
    <xf numFmtId="164" fontId="3" fillId="0" borderId="6" xfId="6" applyFont="1" applyFill="1" applyBorder="1" applyAlignment="1" applyProtection="1">
      <alignment vertical="center"/>
      <protection hidden="1"/>
    </xf>
    <xf numFmtId="164" fontId="3" fillId="0" borderId="6" xfId="6" applyFont="1" applyFill="1" applyBorder="1" applyAlignment="1">
      <alignment horizontal="right" vertical="center"/>
    </xf>
    <xf numFmtId="164" fontId="17" fillId="0" borderId="6" xfId="6" applyFont="1" applyFill="1" applyBorder="1" applyAlignment="1">
      <alignment horizontal="right" vertical="center"/>
    </xf>
    <xf numFmtId="164" fontId="18" fillId="0" borderId="6" xfId="6" applyFont="1" applyFill="1" applyBorder="1" applyAlignment="1">
      <alignment horizontal="right" vertical="center"/>
    </xf>
    <xf numFmtId="164" fontId="3" fillId="0" borderId="6" xfId="6" applyFont="1" applyFill="1" applyBorder="1" applyAlignment="1">
      <alignment vertical="center"/>
    </xf>
    <xf numFmtId="10" fontId="3" fillId="0" borderId="6" xfId="6" applyNumberFormat="1" applyFont="1" applyFill="1" applyBorder="1" applyAlignment="1" applyProtection="1">
      <alignment horizontal="right" vertical="center"/>
      <protection hidden="1"/>
    </xf>
    <xf numFmtId="0" fontId="4" fillId="0" borderId="6" xfId="0" applyFont="1" applyFill="1" applyBorder="1" applyAlignment="1">
      <alignment horizontal="center" vertical="center"/>
    </xf>
    <xf numFmtId="164" fontId="5" fillId="0" borderId="6" xfId="6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5" fillId="0" borderId="5" xfId="5" applyFont="1" applyFill="1" applyBorder="1" applyAlignment="1">
      <alignment horizontal="right" vertical="center"/>
    </xf>
    <xf numFmtId="4" fontId="5" fillId="0" borderId="5" xfId="5" applyNumberFormat="1" applyFont="1" applyFill="1" applyBorder="1" applyAlignment="1">
      <alignment horizontal="left" vertical="center"/>
    </xf>
    <xf numFmtId="164" fontId="3" fillId="0" borderId="6" xfId="6" applyFont="1" applyFill="1" applyBorder="1" applyAlignment="1">
      <alignment horizontal="left" vertical="center"/>
    </xf>
    <xf numFmtId="4" fontId="4" fillId="0" borderId="6" xfId="5" applyNumberFormat="1" applyFont="1" applyFill="1" applyBorder="1" applyAlignment="1">
      <alignment horizontal="center" vertical="center"/>
    </xf>
    <xf numFmtId="164" fontId="14" fillId="0" borderId="6" xfId="6" applyFont="1" applyFill="1" applyBorder="1" applyAlignment="1">
      <alignment horizontal="left" vertical="center"/>
    </xf>
    <xf numFmtId="164" fontId="5" fillId="0" borderId="6" xfId="6" applyFont="1" applyFill="1" applyBorder="1" applyAlignment="1">
      <alignment horizontal="left" vertical="center"/>
    </xf>
    <xf numFmtId="164" fontId="5" fillId="0" borderId="6" xfId="6" applyFont="1" applyFill="1" applyBorder="1" applyAlignment="1" applyProtection="1">
      <alignment horizontal="right" vertical="center"/>
      <protection hidden="1"/>
    </xf>
    <xf numFmtId="164" fontId="14" fillId="0" borderId="6" xfId="6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right" vertical="center"/>
    </xf>
    <xf numFmtId="164" fontId="5" fillId="0" borderId="5" xfId="7" applyFont="1" applyFill="1" applyBorder="1" applyAlignment="1">
      <alignment horizontal="right" vertical="center"/>
    </xf>
    <xf numFmtId="0" fontId="5" fillId="0" borderId="5" xfId="5" applyFont="1" applyFill="1" applyBorder="1" applyAlignment="1">
      <alignment horizontal="left" vertical="center"/>
    </xf>
    <xf numFmtId="0" fontId="3" fillId="0" borderId="5" xfId="5" applyFont="1" applyFill="1" applyBorder="1" applyAlignment="1">
      <alignment horizontal="left" vertical="center"/>
    </xf>
    <xf numFmtId="0" fontId="11" fillId="0" borderId="6" xfId="5" applyFont="1" applyFill="1" applyBorder="1" applyAlignment="1">
      <alignment vertical="center"/>
    </xf>
    <xf numFmtId="4" fontId="3" fillId="0" borderId="5" xfId="5" applyNumberFormat="1" applyFont="1" applyFill="1" applyBorder="1" applyAlignment="1" applyProtection="1">
      <alignment horizontal="right" vertical="center"/>
      <protection hidden="1"/>
    </xf>
    <xf numFmtId="164" fontId="15" fillId="0" borderId="6" xfId="6" applyFont="1" applyFill="1" applyBorder="1" applyAlignment="1" applyProtection="1">
      <alignment horizontal="right" vertical="center"/>
      <protection hidden="1"/>
    </xf>
    <xf numFmtId="4" fontId="16" fillId="0" borderId="6" xfId="5" applyNumberFormat="1" applyFont="1" applyFill="1" applyBorder="1" applyAlignment="1">
      <alignment horizontal="center" vertical="center"/>
    </xf>
    <xf numFmtId="164" fontId="15" fillId="0" borderId="6" xfId="6" applyFont="1" applyFill="1" applyBorder="1" applyAlignment="1">
      <alignment horizontal="right" vertical="center"/>
    </xf>
    <xf numFmtId="164" fontId="19" fillId="0" borderId="6" xfId="6" applyFont="1" applyFill="1" applyBorder="1" applyAlignment="1">
      <alignment horizontal="right" vertical="center"/>
    </xf>
    <xf numFmtId="164" fontId="19" fillId="0" borderId="6" xfId="6" applyFont="1" applyFill="1" applyBorder="1" applyAlignment="1" applyProtection="1">
      <alignment horizontal="right" vertical="center"/>
      <protection hidden="1"/>
    </xf>
    <xf numFmtId="164" fontId="15" fillId="0" borderId="6" xfId="6" applyFont="1" applyFill="1" applyBorder="1" applyAlignment="1" applyProtection="1">
      <alignment vertical="center"/>
      <protection hidden="1"/>
    </xf>
    <xf numFmtId="164" fontId="15" fillId="0" borderId="6" xfId="6" applyFont="1" applyFill="1" applyBorder="1" applyAlignment="1">
      <alignment vertical="center"/>
    </xf>
    <xf numFmtId="4" fontId="6" fillId="0" borderId="5" xfId="5" applyNumberFormat="1" applyFont="1" applyFill="1" applyBorder="1" applyAlignment="1">
      <alignment horizontal="right" vertical="center"/>
    </xf>
    <xf numFmtId="4" fontId="3" fillId="0" borderId="5" xfId="5" applyNumberFormat="1" applyFont="1" applyFill="1" applyBorder="1" applyAlignment="1">
      <alignment vertical="center"/>
    </xf>
    <xf numFmtId="4" fontId="3" fillId="0" borderId="5" xfId="5" applyNumberFormat="1" applyFont="1" applyFill="1" applyBorder="1" applyAlignment="1">
      <alignment horizontal="right" vertical="center"/>
    </xf>
    <xf numFmtId="164" fontId="5" fillId="0" borderId="6" xfId="7" applyFont="1" applyFill="1" applyBorder="1" applyAlignment="1">
      <alignment vertical="center"/>
    </xf>
    <xf numFmtId="166" fontId="5" fillId="0" borderId="6" xfId="5" applyNumberFormat="1" applyFont="1" applyFill="1" applyBorder="1" applyAlignment="1">
      <alignment vertical="center"/>
    </xf>
    <xf numFmtId="2" fontId="5" fillId="0" borderId="6" xfId="5" applyNumberFormat="1" applyFont="1" applyFill="1" applyBorder="1" applyAlignment="1">
      <alignment vertical="center"/>
    </xf>
    <xf numFmtId="164" fontId="3" fillId="0" borderId="5" xfId="7" applyFont="1" applyFill="1" applyBorder="1" applyAlignment="1">
      <alignment horizontal="right" vertical="center"/>
    </xf>
    <xf numFmtId="0" fontId="3" fillId="0" borderId="5" xfId="5" applyFont="1" applyFill="1" applyBorder="1" applyAlignment="1">
      <alignment horizontal="center" vertical="center"/>
    </xf>
    <xf numFmtId="168" fontId="3" fillId="0" borderId="5" xfId="5" applyNumberFormat="1" applyFont="1" applyFill="1" applyBorder="1" applyAlignment="1">
      <alignment horizontal="left" vertical="center"/>
    </xf>
    <xf numFmtId="0" fontId="11" fillId="0" borderId="5" xfId="5" applyFont="1" applyFill="1" applyBorder="1" applyAlignment="1">
      <alignment horizontal="left" vertical="center"/>
    </xf>
    <xf numFmtId="4" fontId="11" fillId="0" borderId="5" xfId="5" applyNumberFormat="1" applyFont="1" applyFill="1" applyBorder="1" applyAlignment="1">
      <alignment vertical="center"/>
    </xf>
    <xf numFmtId="4" fontId="13" fillId="0" borderId="6" xfId="5" applyNumberFormat="1" applyFont="1" applyFill="1" applyBorder="1" applyAlignment="1">
      <alignment horizontal="center" vertical="center"/>
    </xf>
    <xf numFmtId="4" fontId="11" fillId="0" borderId="6" xfId="5" applyNumberFormat="1" applyFont="1" applyFill="1" applyBorder="1" applyAlignment="1" applyProtection="1">
      <alignment horizontal="center" vertical="center"/>
      <protection hidden="1"/>
    </xf>
    <xf numFmtId="164" fontId="13" fillId="0" borderId="6" xfId="7" applyFont="1" applyFill="1" applyBorder="1" applyAlignment="1">
      <alignment horizontal="right" vertical="center"/>
    </xf>
    <xf numFmtId="4" fontId="11" fillId="0" borderId="5" xfId="5" applyNumberFormat="1" applyFont="1" applyFill="1" applyBorder="1" applyAlignment="1">
      <alignment horizontal="left" vertical="center"/>
    </xf>
    <xf numFmtId="4" fontId="5" fillId="0" borderId="6" xfId="5" applyNumberFormat="1" applyFont="1" applyFill="1" applyBorder="1" applyAlignment="1" applyProtection="1">
      <alignment horizontal="center" vertical="center"/>
      <protection hidden="1"/>
    </xf>
    <xf numFmtId="164" fontId="4" fillId="0" borderId="6" xfId="7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/>
    </xf>
    <xf numFmtId="2" fontId="3" fillId="0" borderId="12" xfId="1" applyNumberFormat="1" applyFont="1" applyFill="1" applyBorder="1" applyAlignment="1">
      <alignment horizontal="center" vertical="center"/>
    </xf>
    <xf numFmtId="10" fontId="3" fillId="0" borderId="12" xfId="4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4" fontId="3" fillId="2" borderId="12" xfId="0" applyNumberFormat="1" applyFont="1" applyFill="1" applyBorder="1" applyAlignment="1">
      <alignment horizontal="center" vertical="center"/>
    </xf>
    <xf numFmtId="164" fontId="5" fillId="0" borderId="12" xfId="7" applyFont="1" applyFill="1" applyBorder="1" applyAlignment="1">
      <alignment horizontal="center" vertical="center"/>
    </xf>
    <xf numFmtId="43" fontId="5" fillId="0" borderId="12" xfId="0" applyNumberFormat="1" applyFont="1" applyFill="1" applyBorder="1" applyAlignment="1">
      <alignment vertical="center"/>
    </xf>
    <xf numFmtId="2" fontId="5" fillId="0" borderId="12" xfId="7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165" fontId="3" fillId="0" borderId="12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2" fontId="5" fillId="0" borderId="12" xfId="1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0" borderId="12" xfId="7" applyFont="1" applyFill="1" applyBorder="1" applyAlignment="1">
      <alignment vertical="center"/>
    </xf>
    <xf numFmtId="164" fontId="5" fillId="0" borderId="12" xfId="7" applyFont="1" applyFill="1" applyBorder="1" applyAlignment="1">
      <alignment vertical="center"/>
    </xf>
    <xf numFmtId="165" fontId="5" fillId="0" borderId="12" xfId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vertical="center"/>
    </xf>
    <xf numFmtId="165" fontId="5" fillId="0" borderId="12" xfId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164" fontId="5" fillId="0" borderId="12" xfId="7" applyFont="1" applyFill="1" applyBorder="1" applyAlignment="1">
      <alignment horizontal="right" vertical="center"/>
    </xf>
    <xf numFmtId="165" fontId="11" fillId="0" borderId="12" xfId="1" applyFont="1" applyFill="1" applyBorder="1" applyAlignment="1">
      <alignment horizontal="right" vertical="center"/>
    </xf>
    <xf numFmtId="164" fontId="11" fillId="0" borderId="12" xfId="7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vertical="center"/>
    </xf>
    <xf numFmtId="165" fontId="5" fillId="0" borderId="5" xfId="1" applyFont="1" applyFill="1" applyBorder="1" applyAlignment="1">
      <alignment vertical="center"/>
    </xf>
    <xf numFmtId="165" fontId="5" fillId="0" borderId="5" xfId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165" fontId="5" fillId="0" borderId="6" xfId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5" fillId="0" borderId="6" xfId="7" applyFont="1" applyFill="1" applyBorder="1" applyAlignment="1">
      <alignment horizontal="right" vertical="center"/>
    </xf>
    <xf numFmtId="164" fontId="11" fillId="0" borderId="5" xfId="7" applyFont="1" applyFill="1" applyBorder="1" applyAlignment="1">
      <alignment horizontal="right" vertical="center"/>
    </xf>
    <xf numFmtId="164" fontId="11" fillId="0" borderId="6" xfId="7" applyFont="1" applyFill="1" applyBorder="1" applyAlignment="1">
      <alignment horizontal="right" vertical="center"/>
    </xf>
    <xf numFmtId="164" fontId="5" fillId="0" borderId="5" xfId="7" applyFont="1" applyFill="1" applyBorder="1" applyAlignment="1">
      <alignment vertical="center"/>
    </xf>
    <xf numFmtId="9" fontId="6" fillId="0" borderId="7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9" fontId="5" fillId="0" borderId="5" xfId="4" applyFont="1" applyFill="1" applyBorder="1" applyAlignment="1">
      <alignment horizontal="center" vertical="center"/>
    </xf>
    <xf numFmtId="9" fontId="3" fillId="0" borderId="5" xfId="4" applyFont="1" applyFill="1" applyBorder="1" applyAlignment="1">
      <alignment horizontal="center" vertical="center"/>
    </xf>
    <xf numFmtId="9" fontId="3" fillId="2" borderId="7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9" fontId="6" fillId="0" borderId="6" xfId="0" applyNumberFormat="1" applyFont="1" applyFill="1" applyBorder="1" applyAlignment="1">
      <alignment horizontal="center" vertical="center"/>
    </xf>
    <xf numFmtId="43" fontId="4" fillId="0" borderId="12" xfId="0" applyNumberFormat="1" applyFont="1" applyFill="1" applyBorder="1" applyAlignment="1">
      <alignment horizontal="center" vertical="center"/>
    </xf>
    <xf numFmtId="43" fontId="5" fillId="0" borderId="12" xfId="5" applyNumberFormat="1" applyFont="1" applyFill="1" applyBorder="1" applyAlignment="1">
      <alignment vertical="center"/>
    </xf>
    <xf numFmtId="165" fontId="5" fillId="0" borderId="12" xfId="1" applyFont="1" applyFill="1" applyBorder="1" applyAlignment="1">
      <alignment vertical="center"/>
    </xf>
    <xf numFmtId="43" fontId="3" fillId="0" borderId="12" xfId="5" applyNumberFormat="1" applyFont="1" applyFill="1" applyBorder="1" applyAlignment="1">
      <alignment vertical="center"/>
    </xf>
    <xf numFmtId="43" fontId="3" fillId="2" borderId="11" xfId="0" applyNumberFormat="1" applyFont="1" applyFill="1" applyBorder="1" applyAlignment="1">
      <alignment vertical="center"/>
    </xf>
    <xf numFmtId="43" fontId="3" fillId="0" borderId="12" xfId="0" applyNumberFormat="1" applyFont="1" applyFill="1" applyBorder="1" applyAlignment="1">
      <alignment vertical="center"/>
    </xf>
    <xf numFmtId="43" fontId="3" fillId="2" borderId="12" xfId="0" applyNumberFormat="1" applyFont="1" applyFill="1" applyBorder="1" applyAlignment="1">
      <alignment vertical="center"/>
    </xf>
    <xf numFmtId="164" fontId="11" fillId="0" borderId="12" xfId="7" applyFont="1" applyFill="1" applyBorder="1" applyAlignment="1">
      <alignment vertical="center"/>
    </xf>
    <xf numFmtId="43" fontId="6" fillId="2" borderId="11" xfId="0" applyNumberFormat="1" applyFont="1" applyFill="1" applyBorder="1" applyAlignment="1">
      <alignment horizontal="right" vertical="center"/>
    </xf>
    <xf numFmtId="43" fontId="6" fillId="2" borderId="12" xfId="0" applyNumberFormat="1" applyFont="1" applyFill="1" applyBorder="1" applyAlignment="1">
      <alignment horizontal="right" vertical="center"/>
    </xf>
    <xf numFmtId="9" fontId="5" fillId="0" borderId="12" xfId="4" applyFont="1" applyFill="1" applyBorder="1" applyAlignment="1">
      <alignment horizontal="center" vertical="center"/>
    </xf>
    <xf numFmtId="43" fontId="5" fillId="0" borderId="12" xfId="0" applyNumberFormat="1" applyFont="1" applyFill="1" applyBorder="1" applyAlignment="1">
      <alignment horizontal="right" vertical="center"/>
    </xf>
    <xf numFmtId="43" fontId="6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vertical="center"/>
    </xf>
    <xf numFmtId="164" fontId="5" fillId="0" borderId="12" xfId="5" applyNumberFormat="1" applyFont="1" applyFill="1" applyBorder="1" applyAlignment="1">
      <alignment vertical="center"/>
    </xf>
    <xf numFmtId="43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9" fontId="3" fillId="0" borderId="12" xfId="4" applyFont="1" applyFill="1" applyBorder="1" applyAlignment="1">
      <alignment horizontal="center" vertical="center"/>
    </xf>
    <xf numFmtId="9" fontId="11" fillId="0" borderId="12" xfId="4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4" fontId="3" fillId="0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vertical="center"/>
    </xf>
    <xf numFmtId="164" fontId="5" fillId="0" borderId="18" xfId="0" applyNumberFormat="1" applyFont="1" applyFill="1" applyBorder="1" applyAlignment="1">
      <alignment vertical="center"/>
    </xf>
    <xf numFmtId="4" fontId="5" fillId="0" borderId="13" xfId="0" applyNumberFormat="1" applyFont="1" applyFill="1" applyBorder="1" applyAlignment="1">
      <alignment vertical="center"/>
    </xf>
    <xf numFmtId="9" fontId="5" fillId="0" borderId="18" xfId="4" applyFont="1" applyFill="1" applyBorder="1" applyAlignment="1">
      <alignment horizontal="center" vertical="center"/>
    </xf>
    <xf numFmtId="43" fontId="5" fillId="0" borderId="17" xfId="5" applyNumberFormat="1" applyFont="1" applyFill="1" applyBorder="1" applyAlignment="1">
      <alignment vertical="center"/>
    </xf>
    <xf numFmtId="43" fontId="5" fillId="0" borderId="17" xfId="0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4" fontId="3" fillId="0" borderId="1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43" fontId="5" fillId="0" borderId="21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vertical="center"/>
    </xf>
    <xf numFmtId="4" fontId="5" fillId="0" borderId="22" xfId="0" applyNumberFormat="1" applyFont="1" applyFill="1" applyBorder="1" applyAlignment="1">
      <alignment vertical="center"/>
    </xf>
    <xf numFmtId="9" fontId="5" fillId="0" borderId="20" xfId="4" applyFont="1" applyFill="1" applyBorder="1" applyAlignment="1">
      <alignment horizontal="center" vertical="center"/>
    </xf>
    <xf numFmtId="43" fontId="5" fillId="0" borderId="19" xfId="5" applyNumberFormat="1" applyFont="1" applyFill="1" applyBorder="1" applyAlignment="1">
      <alignment vertical="center"/>
    </xf>
    <xf numFmtId="43" fontId="5" fillId="0" borderId="19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vertical="center"/>
    </xf>
    <xf numFmtId="4" fontId="5" fillId="0" borderId="18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" fontId="3" fillId="0" borderId="17" xfId="0" applyNumberFormat="1" applyFont="1" applyFill="1" applyBorder="1" applyAlignment="1">
      <alignment vertical="center"/>
    </xf>
    <xf numFmtId="4" fontId="3" fillId="0" borderId="18" xfId="0" applyNumberFormat="1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vertical="center"/>
    </xf>
    <xf numFmtId="9" fontId="3" fillId="0" borderId="18" xfId="4" applyFont="1" applyFill="1" applyBorder="1" applyAlignment="1">
      <alignment horizontal="center" vertical="center"/>
    </xf>
    <xf numFmtId="43" fontId="3" fillId="0" borderId="17" xfId="5" applyNumberFormat="1" applyFont="1" applyFill="1" applyBorder="1" applyAlignment="1">
      <alignment vertical="center"/>
    </xf>
    <xf numFmtId="43" fontId="3" fillId="0" borderId="17" xfId="0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9" fontId="4" fillId="0" borderId="18" xfId="0" applyNumberFormat="1" applyFont="1" applyFill="1" applyBorder="1" applyAlignment="1">
      <alignment horizontal="center" vertical="center"/>
    </xf>
    <xf numFmtId="43" fontId="4" fillId="0" borderId="1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9" fontId="3" fillId="0" borderId="18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9" fontId="5" fillId="0" borderId="18" xfId="4" applyNumberFormat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3" fontId="5" fillId="0" borderId="17" xfId="0" applyNumberFormat="1" applyFont="1" applyFill="1" applyBorder="1" applyAlignment="1">
      <alignment horizontal="right" vertical="center"/>
    </xf>
    <xf numFmtId="43" fontId="4" fillId="0" borderId="17" xfId="0" applyNumberFormat="1" applyFont="1" applyFill="1" applyBorder="1" applyAlignment="1">
      <alignment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vertical="center"/>
    </xf>
    <xf numFmtId="9" fontId="5" fillId="2" borderId="15" xfId="4" applyNumberFormat="1" applyFont="1" applyFill="1" applyBorder="1" applyAlignment="1" applyProtection="1">
      <alignment horizontal="center" vertical="center"/>
    </xf>
    <xf numFmtId="43" fontId="5" fillId="2" borderId="16" xfId="0" applyNumberFormat="1" applyFont="1" applyFill="1" applyBorder="1" applyAlignment="1">
      <alignment vertical="center"/>
    </xf>
    <xf numFmtId="43" fontId="5" fillId="2" borderId="15" xfId="0" applyNumberFormat="1" applyFont="1" applyFill="1" applyBorder="1" applyAlignment="1">
      <alignment vertical="center"/>
    </xf>
    <xf numFmtId="43" fontId="6" fillId="2" borderId="15" xfId="0" applyNumberFormat="1" applyFont="1" applyFill="1" applyBorder="1" applyAlignment="1">
      <alignment horizontal="right" vertical="center"/>
    </xf>
    <xf numFmtId="43" fontId="6" fillId="2" borderId="15" xfId="0" applyNumberFormat="1" applyFont="1" applyFill="1" applyBorder="1" applyAlignment="1">
      <alignment vertical="center"/>
    </xf>
    <xf numFmtId="43" fontId="7" fillId="2" borderId="16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4" fontId="4" fillId="0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vertical="center"/>
    </xf>
    <xf numFmtId="4" fontId="4" fillId="0" borderId="18" xfId="0" applyNumberFormat="1" applyFont="1" applyFill="1" applyBorder="1" applyAlignment="1">
      <alignment vertical="center"/>
    </xf>
    <xf numFmtId="4" fontId="4" fillId="0" borderId="1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vertical="center"/>
    </xf>
    <xf numFmtId="4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9" fontId="3" fillId="2" borderId="15" xfId="4" applyNumberFormat="1" applyFont="1" applyFill="1" applyBorder="1" applyAlignment="1" applyProtection="1">
      <alignment horizontal="center" vertical="center"/>
    </xf>
    <xf numFmtId="43" fontId="3" fillId="2" borderId="15" xfId="0" applyNumberFormat="1" applyFont="1" applyFill="1" applyBorder="1" applyAlignment="1">
      <alignment vertical="center"/>
    </xf>
    <xf numFmtId="43" fontId="8" fillId="2" borderId="16" xfId="0" applyNumberFormat="1" applyFont="1" applyFill="1" applyBorder="1" applyAlignment="1">
      <alignment vertical="center"/>
    </xf>
    <xf numFmtId="9" fontId="5" fillId="0" borderId="18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4" fontId="3" fillId="0" borderId="1" xfId="5" applyNumberFormat="1" applyFont="1" applyFill="1" applyBorder="1" applyAlignment="1" applyProtection="1">
      <alignment vertical="center"/>
      <protection hidden="1"/>
    </xf>
    <xf numFmtId="4" fontId="3" fillId="0" borderId="13" xfId="5" applyNumberFormat="1" applyFont="1" applyFill="1" applyBorder="1" applyAlignment="1" applyProtection="1">
      <alignment vertical="center"/>
      <protection hidden="1"/>
    </xf>
    <xf numFmtId="4" fontId="5" fillId="2" borderId="15" xfId="0" applyNumberFormat="1" applyFont="1" applyFill="1" applyBorder="1" applyAlignment="1">
      <alignment horizontal="right" vertical="center"/>
    </xf>
    <xf numFmtId="9" fontId="5" fillId="2" borderId="1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43" fontId="4" fillId="0" borderId="17" xfId="0" applyNumberFormat="1" applyFont="1" applyFill="1" applyBorder="1" applyAlignment="1">
      <alignment horizontal="right" vertical="center"/>
    </xf>
    <xf numFmtId="164" fontId="3" fillId="0" borderId="18" xfId="0" applyNumberFormat="1" applyFont="1" applyFill="1" applyBorder="1" applyAlignment="1">
      <alignment vertical="center"/>
    </xf>
    <xf numFmtId="0" fontId="3" fillId="0" borderId="1" xfId="5" applyFont="1" applyFill="1" applyBorder="1" applyAlignment="1" applyProtection="1">
      <alignment vertical="center"/>
      <protection hidden="1"/>
    </xf>
    <xf numFmtId="0" fontId="3" fillId="0" borderId="13" xfId="5" applyFont="1" applyFill="1" applyBorder="1" applyAlignment="1" applyProtection="1">
      <alignment vertical="center"/>
      <protection hidden="1"/>
    </xf>
    <xf numFmtId="168" fontId="13" fillId="0" borderId="17" xfId="5" applyNumberFormat="1" applyFont="1" applyFill="1" applyBorder="1" applyAlignment="1">
      <alignment horizontal="center" vertical="center"/>
    </xf>
    <xf numFmtId="168" fontId="13" fillId="0" borderId="18" xfId="5" applyNumberFormat="1" applyFont="1" applyFill="1" applyBorder="1" applyAlignment="1">
      <alignment vertical="center"/>
    </xf>
    <xf numFmtId="168" fontId="13" fillId="0" borderId="1" xfId="5" applyNumberFormat="1" applyFont="1" applyFill="1" applyBorder="1" applyAlignment="1">
      <alignment vertical="center"/>
    </xf>
    <xf numFmtId="168" fontId="13" fillId="0" borderId="13" xfId="5" applyNumberFormat="1" applyFont="1" applyFill="1" applyBorder="1" applyAlignment="1">
      <alignment vertical="center"/>
    </xf>
    <xf numFmtId="168" fontId="13" fillId="0" borderId="17" xfId="5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center" vertical="center"/>
    </xf>
    <xf numFmtId="164" fontId="5" fillId="0" borderId="1" xfId="7" applyFont="1" applyFill="1" applyBorder="1" applyAlignment="1">
      <alignment horizontal="center" vertical="center"/>
    </xf>
    <xf numFmtId="0" fontId="5" fillId="0" borderId="17" xfId="5" applyFont="1" applyFill="1" applyBorder="1" applyAlignment="1">
      <alignment vertical="center"/>
    </xf>
    <xf numFmtId="164" fontId="5" fillId="0" borderId="18" xfId="7" applyFont="1" applyFill="1" applyBorder="1" applyAlignment="1">
      <alignment vertical="center"/>
    </xf>
    <xf numFmtId="164" fontId="5" fillId="0" borderId="13" xfId="7" applyFont="1" applyFill="1" applyBorder="1" applyAlignment="1">
      <alignment vertical="center"/>
    </xf>
    <xf numFmtId="164" fontId="5" fillId="0" borderId="17" xfId="7" applyFont="1" applyFill="1" applyBorder="1" applyAlignment="1">
      <alignment vertical="center"/>
    </xf>
    <xf numFmtId="0" fontId="5" fillId="0" borderId="1" xfId="5" applyFont="1" applyFill="1" applyBorder="1" applyAlignment="1">
      <alignment vertical="center"/>
    </xf>
    <xf numFmtId="168" fontId="13" fillId="0" borderId="17" xfId="5" applyNumberFormat="1" applyFont="1" applyFill="1" applyBorder="1" applyAlignment="1">
      <alignment horizontal="right" vertical="center"/>
    </xf>
    <xf numFmtId="168" fontId="3" fillId="0" borderId="18" xfId="5" applyNumberFormat="1" applyFont="1" applyFill="1" applyBorder="1" applyAlignment="1">
      <alignment horizontal="left" vertical="center"/>
    </xf>
    <xf numFmtId="2" fontId="3" fillId="0" borderId="17" xfId="7" applyNumberFormat="1" applyFont="1" applyFill="1" applyBorder="1" applyAlignment="1">
      <alignment horizontal="center" vertical="center"/>
    </xf>
    <xf numFmtId="164" fontId="3" fillId="0" borderId="17" xfId="7" applyFont="1" applyFill="1" applyBorder="1" applyAlignment="1">
      <alignment horizontal="right" vertical="center"/>
    </xf>
    <xf numFmtId="0" fontId="11" fillId="0" borderId="17" xfId="5" applyFont="1" applyFill="1" applyBorder="1" applyAlignment="1">
      <alignment vertical="center"/>
    </xf>
    <xf numFmtId="168" fontId="11" fillId="0" borderId="18" xfId="5" applyNumberFormat="1" applyFont="1" applyFill="1" applyBorder="1" applyAlignment="1">
      <alignment horizontal="left" vertical="center"/>
    </xf>
    <xf numFmtId="4" fontId="11" fillId="0" borderId="1" xfId="5" applyNumberFormat="1" applyFont="1" applyFill="1" applyBorder="1" applyAlignment="1" applyProtection="1">
      <alignment vertical="center"/>
      <protection hidden="1"/>
    </xf>
    <xf numFmtId="0" fontId="11" fillId="0" borderId="1" xfId="5" applyFont="1" applyFill="1" applyBorder="1" applyAlignment="1" applyProtection="1">
      <alignment vertical="center"/>
      <protection hidden="1"/>
    </xf>
    <xf numFmtId="0" fontId="11" fillId="0" borderId="13" xfId="5" applyFont="1" applyFill="1" applyBorder="1" applyAlignment="1" applyProtection="1">
      <alignment vertical="center"/>
      <protection hidden="1"/>
    </xf>
    <xf numFmtId="4" fontId="11" fillId="0" borderId="13" xfId="5" applyNumberFormat="1" applyFont="1" applyFill="1" applyBorder="1" applyAlignment="1" applyProtection="1">
      <alignment vertical="center"/>
      <protection hidden="1"/>
    </xf>
    <xf numFmtId="0" fontId="5" fillId="0" borderId="1" xfId="5" applyFont="1" applyFill="1" applyBorder="1" applyAlignment="1" applyProtection="1">
      <alignment vertical="center"/>
      <protection hidden="1"/>
    </xf>
    <xf numFmtId="4" fontId="13" fillId="0" borderId="18" xfId="5" applyNumberFormat="1" applyFont="1" applyFill="1" applyBorder="1" applyAlignment="1" applyProtection="1">
      <alignment horizontal="left" vertical="center"/>
      <protection hidden="1"/>
    </xf>
    <xf numFmtId="4" fontId="13" fillId="0" borderId="1" xfId="5" applyNumberFormat="1" applyFont="1" applyFill="1" applyBorder="1" applyAlignment="1" applyProtection="1">
      <alignment horizontal="left" vertical="center"/>
      <protection hidden="1"/>
    </xf>
    <xf numFmtId="4" fontId="13" fillId="0" borderId="13" xfId="5" applyNumberFormat="1" applyFont="1" applyFill="1" applyBorder="1" applyAlignment="1" applyProtection="1">
      <alignment horizontal="left" vertical="center"/>
      <protection hidden="1"/>
    </xf>
    <xf numFmtId="2" fontId="5" fillId="0" borderId="17" xfId="7" applyNumberFormat="1" applyFont="1" applyFill="1" applyBorder="1" applyAlignment="1">
      <alignment horizontal="center" vertical="center"/>
    </xf>
    <xf numFmtId="164" fontId="5" fillId="0" borderId="17" xfId="7" applyFont="1" applyFill="1" applyBorder="1" applyAlignment="1">
      <alignment horizontal="center" vertical="center"/>
    </xf>
    <xf numFmtId="4" fontId="4" fillId="0" borderId="1" xfId="5" applyNumberFormat="1" applyFont="1" applyFill="1" applyBorder="1" applyAlignment="1" applyProtection="1">
      <alignment horizontal="left" vertical="center"/>
      <protection hidden="1"/>
    </xf>
    <xf numFmtId="4" fontId="4" fillId="0" borderId="13" xfId="5" applyNumberFormat="1" applyFont="1" applyFill="1" applyBorder="1" applyAlignment="1" applyProtection="1">
      <alignment horizontal="left" vertical="center"/>
      <protection hidden="1"/>
    </xf>
    <xf numFmtId="0" fontId="5" fillId="0" borderId="17" xfId="5" applyFont="1" applyFill="1" applyBorder="1" applyAlignment="1">
      <alignment horizontal="right" vertical="center"/>
    </xf>
    <xf numFmtId="4" fontId="5" fillId="0" borderId="1" xfId="5" applyNumberFormat="1" applyFont="1" applyFill="1" applyBorder="1" applyAlignment="1" applyProtection="1">
      <alignment vertical="center"/>
      <protection hidden="1"/>
    </xf>
    <xf numFmtId="2" fontId="5" fillId="2" borderId="15" xfId="7" applyNumberFormat="1" applyFont="1" applyFill="1" applyBorder="1" applyAlignment="1">
      <alignment horizontal="center" vertical="center"/>
    </xf>
    <xf numFmtId="164" fontId="5" fillId="2" borderId="15" xfId="7" applyFont="1" applyFill="1" applyBorder="1" applyAlignment="1">
      <alignment horizontal="center" vertical="center"/>
    </xf>
    <xf numFmtId="164" fontId="5" fillId="2" borderId="15" xfId="7" applyFont="1" applyFill="1" applyBorder="1" applyAlignment="1">
      <alignment vertical="center"/>
    </xf>
    <xf numFmtId="9" fontId="5" fillId="2" borderId="15" xfId="4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right" vertical="center"/>
    </xf>
    <xf numFmtId="164" fontId="4" fillId="2" borderId="14" xfId="7" applyFont="1" applyFill="1" applyBorder="1" applyAlignment="1">
      <alignment horizontal="right" vertical="center"/>
    </xf>
    <xf numFmtId="164" fontId="4" fillId="2" borderId="15" xfId="7" applyFont="1" applyFill="1" applyBorder="1" applyAlignment="1">
      <alignment horizontal="right" vertical="center"/>
    </xf>
    <xf numFmtId="0" fontId="5" fillId="2" borderId="15" xfId="5" applyFont="1" applyFill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166" fontId="5" fillId="2" borderId="16" xfId="7" applyNumberFormat="1" applyFont="1" applyFill="1" applyBorder="1" applyAlignment="1">
      <alignment vertical="center"/>
    </xf>
    <xf numFmtId="164" fontId="6" fillId="2" borderId="15" xfId="7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9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43" fontId="6" fillId="2" borderId="8" xfId="0" applyNumberFormat="1" applyFont="1" applyFill="1" applyBorder="1"/>
    <xf numFmtId="166" fontId="5" fillId="0" borderId="12" xfId="1" applyNumberFormat="1" applyFont="1" applyFill="1" applyBorder="1" applyAlignment="1">
      <alignment vertical="center"/>
    </xf>
    <xf numFmtId="43" fontId="8" fillId="2" borderId="11" xfId="0" applyNumberFormat="1" applyFont="1" applyFill="1" applyBorder="1" applyAlignment="1">
      <alignment vertical="center"/>
    </xf>
    <xf numFmtId="43" fontId="8" fillId="2" borderId="12" xfId="0" applyNumberFormat="1" applyFont="1" applyFill="1" applyBorder="1" applyAlignment="1">
      <alignment vertical="center"/>
    </xf>
    <xf numFmtId="43" fontId="7" fillId="0" borderId="17" xfId="0" applyNumberFormat="1" applyFont="1" applyFill="1" applyBorder="1" applyAlignment="1">
      <alignment vertical="center"/>
    </xf>
    <xf numFmtId="43" fontId="7" fillId="0" borderId="12" xfId="0" applyNumberFormat="1" applyFont="1" applyFill="1" applyBorder="1" applyAlignment="1">
      <alignment vertical="center"/>
    </xf>
    <xf numFmtId="166" fontId="5" fillId="0" borderId="17" xfId="7" applyNumberFormat="1" applyFont="1" applyFill="1" applyBorder="1" applyAlignment="1">
      <alignment vertical="center"/>
    </xf>
    <xf numFmtId="166" fontId="5" fillId="0" borderId="12" xfId="7" applyNumberFormat="1" applyFont="1" applyFill="1" applyBorder="1" applyAlignment="1">
      <alignment vertical="center"/>
    </xf>
    <xf numFmtId="43" fontId="8" fillId="2" borderId="9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0" fontId="21" fillId="0" borderId="0" xfId="5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2" fontId="21" fillId="0" borderId="0" xfId="5" applyNumberFormat="1" applyFont="1" applyAlignment="1">
      <alignment horizontal="center" vertical="center"/>
    </xf>
    <xf numFmtId="4" fontId="21" fillId="0" borderId="0" xfId="5" applyNumberFormat="1" applyFont="1" applyAlignment="1">
      <alignment horizontal="center" vertical="center"/>
    </xf>
    <xf numFmtId="0" fontId="21" fillId="0" borderId="0" xfId="0" applyFont="1" applyAlignment="1">
      <alignment horizontal="left" vertical="center" indent="6"/>
    </xf>
    <xf numFmtId="0" fontId="22" fillId="0" borderId="0" xfId="5" applyFont="1" applyAlignment="1">
      <alignment horizontal="right" vertical="center"/>
    </xf>
    <xf numFmtId="0" fontId="21" fillId="0" borderId="0" xfId="0" applyFont="1" applyAlignment="1">
      <alignment horizontal="left" vertical="center" indent="2"/>
    </xf>
    <xf numFmtId="43" fontId="21" fillId="0" borderId="0" xfId="5" applyNumberFormat="1" applyFont="1" applyAlignment="1">
      <alignment vertical="center"/>
    </xf>
    <xf numFmtId="44" fontId="23" fillId="0" borderId="0" xfId="5" applyNumberFormat="1" applyFont="1" applyAlignment="1">
      <alignment horizontal="left" vertical="center" indent="4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8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6"/>
    </xf>
    <xf numFmtId="0" fontId="24" fillId="0" borderId="0" xfId="0" applyFont="1" applyAlignment="1">
      <alignment horizontal="left" vertical="center" indent="2"/>
    </xf>
    <xf numFmtId="0" fontId="23" fillId="0" borderId="0" xfId="0" applyFont="1" applyAlignment="1">
      <alignment horizontal="left" vertical="center"/>
    </xf>
    <xf numFmtId="4" fontId="21" fillId="0" borderId="0" xfId="5" applyNumberFormat="1" applyFont="1" applyAlignment="1">
      <alignment vertical="center"/>
    </xf>
    <xf numFmtId="0" fontId="11" fillId="0" borderId="5" xfId="5" applyFont="1" applyFill="1" applyBorder="1" applyAlignment="1">
      <alignment vertical="center"/>
    </xf>
    <xf numFmtId="4" fontId="16" fillId="0" borderId="5" xfId="5" applyNumberFormat="1" applyFont="1" applyFill="1" applyBorder="1" applyAlignment="1">
      <alignment horizontal="right" vertical="center"/>
    </xf>
    <xf numFmtId="4" fontId="15" fillId="0" borderId="5" xfId="5" applyNumberFormat="1" applyFont="1" applyFill="1" applyBorder="1" applyAlignment="1" applyProtection="1">
      <alignment horizontal="right" vertical="center"/>
      <protection hidden="1"/>
    </xf>
    <xf numFmtId="4" fontId="15" fillId="0" borderId="5" xfId="5" applyNumberFormat="1" applyFont="1" applyFill="1" applyBorder="1" applyAlignment="1">
      <alignment horizontal="right" vertical="center"/>
    </xf>
    <xf numFmtId="4" fontId="16" fillId="0" borderId="12" xfId="5" applyNumberFormat="1" applyFont="1" applyFill="1" applyBorder="1" applyAlignment="1">
      <alignment horizontal="right" vertical="center"/>
    </xf>
    <xf numFmtId="4" fontId="15" fillId="0" borderId="12" xfId="5" applyNumberFormat="1" applyFont="1" applyFill="1" applyBorder="1" applyAlignment="1">
      <alignment horizontal="right" vertical="center"/>
    </xf>
    <xf numFmtId="4" fontId="15" fillId="0" borderId="5" xfId="5" applyNumberFormat="1" applyFont="1" applyFill="1" applyBorder="1" applyAlignment="1">
      <alignment vertical="center"/>
    </xf>
    <xf numFmtId="43" fontId="11" fillId="0" borderId="0" xfId="5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6" fillId="0" borderId="10" xfId="0" applyNumberFormat="1" applyFont="1" applyFill="1" applyBorder="1" applyAlignment="1">
      <alignment horizontal="center" vertical="center"/>
    </xf>
    <xf numFmtId="43" fontId="6" fillId="0" borderId="11" xfId="0" applyNumberFormat="1" applyFont="1" applyFill="1" applyBorder="1" applyAlignment="1">
      <alignment horizontal="center" vertical="center"/>
    </xf>
    <xf numFmtId="165" fontId="1" fillId="2" borderId="15" xfId="1" applyFill="1" applyBorder="1" applyAlignment="1">
      <alignment vertical="center"/>
    </xf>
    <xf numFmtId="4" fontId="11" fillId="0" borderId="19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4" fontId="11" fillId="0" borderId="17" xfId="0" applyNumberFormat="1" applyFont="1" applyFill="1" applyBorder="1" applyAlignment="1">
      <alignment vertical="center"/>
    </xf>
    <xf numFmtId="165" fontId="11" fillId="0" borderId="12" xfId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vertical="center"/>
    </xf>
    <xf numFmtId="0" fontId="22" fillId="0" borderId="0" xfId="5" applyFont="1" applyAlignment="1">
      <alignment vertical="center"/>
    </xf>
    <xf numFmtId="0" fontId="22" fillId="0" borderId="0" xfId="5" applyFont="1" applyAlignment="1">
      <alignment horizontal="center" vertical="center"/>
    </xf>
    <xf numFmtId="164" fontId="22" fillId="0" borderId="0" xfId="7" applyFont="1" applyFill="1" applyBorder="1" applyAlignment="1">
      <alignment horizontal="center" vertical="center"/>
    </xf>
    <xf numFmtId="164" fontId="22" fillId="0" borderId="0" xfId="7" applyFont="1" applyFill="1" applyBorder="1" applyAlignment="1">
      <alignment horizontal="right" vertical="center"/>
    </xf>
    <xf numFmtId="164" fontId="25" fillId="0" borderId="0" xfId="7" applyFont="1" applyFill="1" applyBorder="1" applyAlignment="1">
      <alignment horizontal="center" vertical="center"/>
    </xf>
    <xf numFmtId="4" fontId="22" fillId="0" borderId="0" xfId="5" applyNumberFormat="1" applyFont="1" applyAlignment="1" applyProtection="1">
      <alignment vertical="center"/>
      <protection hidden="1"/>
    </xf>
    <xf numFmtId="0" fontId="26" fillId="0" borderId="0" xfId="5" applyFont="1" applyAlignment="1">
      <alignment vertical="center"/>
    </xf>
    <xf numFmtId="2" fontId="26" fillId="0" borderId="0" xfId="5" applyNumberFormat="1" applyFont="1" applyAlignment="1">
      <alignment horizontal="center" vertical="center"/>
    </xf>
    <xf numFmtId="164" fontId="26" fillId="0" borderId="0" xfId="7" applyFont="1" applyFill="1" applyAlignment="1">
      <alignment horizontal="right" vertical="center"/>
    </xf>
    <xf numFmtId="4" fontId="28" fillId="0" borderId="0" xfId="5" applyNumberFormat="1" applyFont="1" applyAlignment="1" applyProtection="1">
      <alignment horizontal="left" vertical="center"/>
      <protection hidden="1"/>
    </xf>
    <xf numFmtId="168" fontId="28" fillId="0" borderId="0" xfId="5" applyNumberFormat="1" applyFont="1" applyAlignment="1" applyProtection="1">
      <alignment horizontal="right" vertical="center"/>
      <protection hidden="1"/>
    </xf>
    <xf numFmtId="4" fontId="28" fillId="0" borderId="0" xfId="5" applyNumberFormat="1" applyFont="1" applyAlignment="1" applyProtection="1">
      <alignment horizontal="center" vertical="center"/>
      <protection hidden="1"/>
    </xf>
    <xf numFmtId="4" fontId="28" fillId="0" borderId="0" xfId="5" applyNumberFormat="1" applyFont="1" applyAlignment="1">
      <alignment vertical="center"/>
    </xf>
    <xf numFmtId="4" fontId="22" fillId="0" borderId="0" xfId="5" applyNumberFormat="1" applyFont="1" applyAlignment="1" applyProtection="1">
      <alignment horizontal="right" vertical="center"/>
      <protection hidden="1"/>
    </xf>
    <xf numFmtId="2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center" vertical="center"/>
    </xf>
    <xf numFmtId="2" fontId="28" fillId="0" borderId="0" xfId="5" applyNumberFormat="1" applyFont="1" applyAlignment="1" applyProtection="1">
      <alignment horizontal="center" vertical="center"/>
      <protection hidden="1"/>
    </xf>
    <xf numFmtId="170" fontId="28" fillId="0" borderId="0" xfId="5" applyNumberFormat="1" applyFont="1" applyAlignment="1" applyProtection="1">
      <alignment horizontal="left" vertical="center"/>
      <protection hidden="1"/>
    </xf>
    <xf numFmtId="4" fontId="28" fillId="0" borderId="8" xfId="5" applyNumberFormat="1" applyFont="1" applyBorder="1" applyAlignment="1">
      <alignment vertical="center"/>
    </xf>
    <xf numFmtId="4" fontId="29" fillId="0" borderId="0" xfId="5" applyNumberFormat="1" applyFont="1" applyAlignment="1">
      <alignment vertical="center"/>
    </xf>
    <xf numFmtId="164" fontId="22" fillId="0" borderId="5" xfId="5" applyNumberFormat="1" applyFont="1" applyBorder="1" applyAlignment="1">
      <alignment vertical="center"/>
    </xf>
    <xf numFmtId="43" fontId="22" fillId="0" borderId="0" xfId="5" applyNumberFormat="1" applyFont="1" applyAlignment="1">
      <alignment vertical="center"/>
    </xf>
    <xf numFmtId="0" fontId="22" fillId="0" borderId="0" xfId="8" applyFont="1" applyAlignment="1">
      <alignment vertical="center"/>
    </xf>
    <xf numFmtId="0" fontId="26" fillId="0" borderId="0" xfId="8" applyFont="1" applyAlignment="1">
      <alignment vertical="center"/>
    </xf>
    <xf numFmtId="0" fontId="28" fillId="0" borderId="0" xfId="5" applyFont="1" applyAlignment="1">
      <alignment vertical="center"/>
    </xf>
    <xf numFmtId="164" fontId="30" fillId="0" borderId="0" xfId="7" applyFont="1" applyAlignment="1">
      <alignment vertical="center"/>
    </xf>
    <xf numFmtId="43" fontId="31" fillId="0" borderId="0" xfId="5" applyNumberFormat="1" applyFont="1" applyAlignment="1">
      <alignment vertical="center"/>
    </xf>
    <xf numFmtId="43" fontId="22" fillId="0" borderId="0" xfId="5" applyNumberFormat="1" applyFont="1" applyAlignment="1">
      <alignment horizontal="right" vertical="center"/>
    </xf>
    <xf numFmtId="44" fontId="29" fillId="0" borderId="0" xfId="5" applyNumberFormat="1" applyFont="1" applyAlignment="1">
      <alignment horizontal="left" vertical="center" indent="4"/>
    </xf>
    <xf numFmtId="0" fontId="22" fillId="0" borderId="0" xfId="8" applyFont="1" applyAlignment="1">
      <alignment horizontal="left" vertical="center" indent="2"/>
    </xf>
    <xf numFmtId="0" fontId="32" fillId="0" borderId="0" xfId="8" applyFont="1" applyAlignment="1">
      <alignment horizontal="center" vertical="center"/>
    </xf>
    <xf numFmtId="44" fontId="28" fillId="0" borderId="0" xfId="5" applyNumberFormat="1" applyFont="1" applyAlignment="1">
      <alignment horizontal="left" vertical="center" indent="4"/>
    </xf>
    <xf numFmtId="4" fontId="26" fillId="0" borderId="0" xfId="5" applyNumberFormat="1" applyFont="1" applyAlignment="1">
      <alignment horizontal="center" vertical="center"/>
    </xf>
    <xf numFmtId="0" fontId="26" fillId="0" borderId="0" xfId="5" applyFont="1" applyAlignment="1">
      <alignment horizontal="right" vertical="center"/>
    </xf>
    <xf numFmtId="164" fontId="27" fillId="0" borderId="0" xfId="7" applyFont="1" applyFill="1" applyAlignment="1">
      <alignment horizontal="right" vertical="center"/>
    </xf>
    <xf numFmtId="0" fontId="22" fillId="0" borderId="0" xfId="5" applyFont="1" applyBorder="1" applyAlignment="1">
      <alignment vertical="center"/>
    </xf>
    <xf numFmtId="0" fontId="22" fillId="0" borderId="0" xfId="8" applyFont="1" applyBorder="1" applyAlignment="1">
      <alignment vertical="center"/>
    </xf>
    <xf numFmtId="4" fontId="28" fillId="0" borderId="10" xfId="5" applyNumberFormat="1" applyFont="1" applyBorder="1" applyAlignment="1" applyProtection="1">
      <alignment horizontal="center" vertical="center" wrapText="1"/>
      <protection hidden="1"/>
    </xf>
    <xf numFmtId="9" fontId="28" fillId="0" borderId="10" xfId="9" applyFont="1" applyFill="1" applyBorder="1" applyAlignment="1" applyProtection="1">
      <alignment horizontal="center" vertical="center" wrapText="1"/>
      <protection hidden="1"/>
    </xf>
    <xf numFmtId="0" fontId="28" fillId="0" borderId="10" xfId="5" applyFont="1" applyBorder="1" applyAlignment="1">
      <alignment horizontal="center" vertical="center"/>
    </xf>
    <xf numFmtId="168" fontId="28" fillId="0" borderId="24" xfId="5" applyNumberFormat="1" applyFont="1" applyBorder="1" applyAlignment="1">
      <alignment horizontal="center" vertical="center"/>
    </xf>
    <xf numFmtId="2" fontId="22" fillId="0" borderId="24" xfId="7" applyNumberFormat="1" applyFont="1" applyFill="1" applyBorder="1" applyAlignment="1">
      <alignment horizontal="center" vertical="center"/>
    </xf>
    <xf numFmtId="164" fontId="22" fillId="0" borderId="24" xfId="7" applyFont="1" applyFill="1" applyBorder="1" applyAlignment="1">
      <alignment horizontal="center" vertical="center"/>
    </xf>
    <xf numFmtId="164" fontId="22" fillId="0" borderId="24" xfId="7" applyFont="1" applyFill="1" applyBorder="1" applyAlignment="1">
      <alignment horizontal="right" vertical="center"/>
    </xf>
    <xf numFmtId="164" fontId="22" fillId="0" borderId="24" xfId="7" applyFont="1" applyFill="1" applyBorder="1" applyAlignment="1">
      <alignment vertical="center"/>
    </xf>
    <xf numFmtId="9" fontId="22" fillId="0" borderId="24" xfId="9" applyFont="1" applyFill="1" applyBorder="1" applyAlignment="1">
      <alignment horizontal="center" vertical="center"/>
    </xf>
    <xf numFmtId="0" fontId="22" fillId="0" borderId="24" xfId="5" applyFont="1" applyBorder="1" applyAlignment="1">
      <alignment vertical="center"/>
    </xf>
    <xf numFmtId="166" fontId="22" fillId="0" borderId="24" xfId="7" applyNumberFormat="1" applyFont="1" applyFill="1" applyBorder="1" applyAlignment="1">
      <alignment vertical="center"/>
    </xf>
    <xf numFmtId="164" fontId="22" fillId="0" borderId="24" xfId="5" applyNumberFormat="1" applyFont="1" applyBorder="1" applyAlignment="1">
      <alignment vertical="center"/>
    </xf>
    <xf numFmtId="164" fontId="21" fillId="0" borderId="24" xfId="7" applyFont="1" applyFill="1" applyBorder="1" applyAlignment="1">
      <alignment horizontal="right" vertical="center"/>
    </xf>
    <xf numFmtId="43" fontId="22" fillId="0" borderId="24" xfId="5" applyNumberFormat="1" applyFont="1" applyBorder="1" applyAlignment="1">
      <alignment vertical="center"/>
    </xf>
    <xf numFmtId="164" fontId="22" fillId="0" borderId="24" xfId="5" applyNumberFormat="1" applyFont="1" applyBorder="1" applyAlignment="1">
      <alignment horizontal="left" vertical="center" indent="2"/>
    </xf>
    <xf numFmtId="0" fontId="22" fillId="0" borderId="24" xfId="5" applyFont="1" applyBorder="1" applyAlignment="1">
      <alignment horizontal="right" vertical="center"/>
    </xf>
    <xf numFmtId="4" fontId="28" fillId="0" borderId="24" xfId="5" applyNumberFormat="1" applyFont="1" applyBorder="1" applyAlignment="1">
      <alignment horizontal="right" vertical="center"/>
    </xf>
    <xf numFmtId="4" fontId="28" fillId="0" borderId="24" xfId="5" applyNumberFormat="1" applyFont="1" applyBorder="1" applyAlignment="1">
      <alignment horizontal="center" vertical="center"/>
    </xf>
    <xf numFmtId="10" fontId="22" fillId="0" borderId="24" xfId="9" applyNumberFormat="1" applyFont="1" applyFill="1" applyBorder="1" applyAlignment="1">
      <alignment vertical="center"/>
    </xf>
    <xf numFmtId="4" fontId="22" fillId="0" borderId="24" xfId="5" applyNumberFormat="1" applyFont="1" applyBorder="1" applyAlignment="1">
      <alignment horizontal="right" vertical="center"/>
    </xf>
    <xf numFmtId="4" fontId="22" fillId="0" borderId="24" xfId="5" applyNumberFormat="1" applyFont="1" applyBorder="1" applyAlignment="1">
      <alignment vertical="center"/>
    </xf>
    <xf numFmtId="164" fontId="28" fillId="0" borderId="24" xfId="7" applyFont="1" applyFill="1" applyBorder="1" applyAlignment="1">
      <alignment horizontal="right" vertical="center"/>
    </xf>
    <xf numFmtId="164" fontId="22" fillId="0" borderId="24" xfId="6" applyFont="1" applyFill="1" applyBorder="1" applyAlignment="1">
      <alignment horizontal="right" vertical="center"/>
    </xf>
    <xf numFmtId="168" fontId="22" fillId="0" borderId="24" xfId="5" applyNumberFormat="1" applyFont="1" applyBorder="1" applyAlignment="1">
      <alignment horizontal="right" vertical="center"/>
    </xf>
    <xf numFmtId="171" fontId="22" fillId="0" borderId="24" xfId="5" applyNumberFormat="1" applyFont="1" applyBorder="1" applyAlignment="1">
      <alignment vertical="center"/>
    </xf>
    <xf numFmtId="168" fontId="22" fillId="0" borderId="24" xfId="5" applyNumberFormat="1" applyFont="1" applyBorder="1" applyAlignment="1">
      <alignment vertical="center"/>
    </xf>
    <xf numFmtId="2" fontId="22" fillId="2" borderId="24" xfId="7" applyNumberFormat="1" applyFont="1" applyFill="1" applyBorder="1" applyAlignment="1">
      <alignment horizontal="center" vertical="center"/>
    </xf>
    <xf numFmtId="164" fontId="22" fillId="2" borderId="24" xfId="7" applyFont="1" applyFill="1" applyBorder="1" applyAlignment="1">
      <alignment horizontal="center" vertical="center"/>
    </xf>
    <xf numFmtId="164" fontId="28" fillId="2" borderId="24" xfId="7" applyFont="1" applyFill="1" applyBorder="1" applyAlignment="1">
      <alignment horizontal="right" vertical="center"/>
    </xf>
    <xf numFmtId="164" fontId="22" fillId="2" borderId="24" xfId="7" applyFont="1" applyFill="1" applyBorder="1" applyAlignment="1">
      <alignment vertical="center"/>
    </xf>
    <xf numFmtId="9" fontId="22" fillId="2" borderId="24" xfId="9" applyFont="1" applyFill="1" applyBorder="1" applyAlignment="1">
      <alignment horizontal="center" vertical="center"/>
    </xf>
    <xf numFmtId="0" fontId="22" fillId="2" borderId="24" xfId="8" applyFont="1" applyFill="1" applyBorder="1" applyAlignment="1">
      <alignment vertical="center"/>
    </xf>
    <xf numFmtId="0" fontId="28" fillId="2" borderId="24" xfId="8" applyFont="1" applyFill="1" applyBorder="1" applyAlignment="1">
      <alignment horizontal="right" vertical="center"/>
    </xf>
    <xf numFmtId="166" fontId="22" fillId="2" borderId="24" xfId="7" applyNumberFormat="1" applyFont="1" applyFill="1" applyBorder="1" applyAlignment="1">
      <alignment vertical="center"/>
    </xf>
    <xf numFmtId="164" fontId="30" fillId="0" borderId="0" xfId="7" applyFont="1" applyBorder="1" applyAlignment="1">
      <alignment vertical="center"/>
    </xf>
    <xf numFmtId="168" fontId="28" fillId="0" borderId="25" xfId="5" applyNumberFormat="1" applyFont="1" applyBorder="1" applyAlignment="1">
      <alignment horizontal="center" vertical="center"/>
    </xf>
    <xf numFmtId="2" fontId="22" fillId="0" borderId="26" xfId="7" applyNumberFormat="1" applyFont="1" applyFill="1" applyBorder="1" applyAlignment="1">
      <alignment horizontal="center" vertical="center"/>
    </xf>
    <xf numFmtId="164" fontId="22" fillId="0" borderId="26" xfId="7" applyFont="1" applyFill="1" applyBorder="1" applyAlignment="1">
      <alignment horizontal="center" vertical="center"/>
    </xf>
    <xf numFmtId="164" fontId="22" fillId="0" borderId="26" xfId="7" applyFont="1" applyFill="1" applyBorder="1" applyAlignment="1">
      <alignment horizontal="right" vertical="center"/>
    </xf>
    <xf numFmtId="164" fontId="22" fillId="0" borderId="26" xfId="7" applyFont="1" applyFill="1" applyBorder="1" applyAlignment="1">
      <alignment vertical="center"/>
    </xf>
    <xf numFmtId="9" fontId="22" fillId="0" borderId="26" xfId="9" applyFont="1" applyFill="1" applyBorder="1" applyAlignment="1">
      <alignment horizontal="center" vertical="center"/>
    </xf>
    <xf numFmtId="0" fontId="22" fillId="0" borderId="26" xfId="5" applyFont="1" applyBorder="1" applyAlignment="1">
      <alignment vertical="center"/>
    </xf>
    <xf numFmtId="166" fontId="22" fillId="0" borderId="26" xfId="7" applyNumberFormat="1" applyFont="1" applyFill="1" applyBorder="1" applyAlignment="1">
      <alignment vertical="center"/>
    </xf>
    <xf numFmtId="164" fontId="22" fillId="0" borderId="26" xfId="5" applyNumberFormat="1" applyFont="1" applyBorder="1" applyAlignment="1">
      <alignment vertical="center"/>
    </xf>
    <xf numFmtId="0" fontId="22" fillId="0" borderId="27" xfId="5" applyFont="1" applyBorder="1" applyAlignment="1">
      <alignment vertical="center"/>
    </xf>
    <xf numFmtId="0" fontId="22" fillId="0" borderId="28" xfId="5" applyFont="1" applyBorder="1" applyAlignment="1">
      <alignment vertical="center"/>
    </xf>
    <xf numFmtId="43" fontId="22" fillId="0" borderId="29" xfId="5" applyNumberFormat="1" applyFont="1" applyBorder="1" applyAlignment="1">
      <alignment vertical="center"/>
    </xf>
    <xf numFmtId="0" fontId="22" fillId="0" borderId="29" xfId="5" applyFont="1" applyBorder="1" applyAlignment="1">
      <alignment vertical="center"/>
    </xf>
    <xf numFmtId="0" fontId="22" fillId="2" borderId="29" xfId="8" applyFont="1" applyFill="1" applyBorder="1" applyAlignment="1">
      <alignment vertical="center"/>
    </xf>
    <xf numFmtId="168" fontId="28" fillId="0" borderId="28" xfId="5" applyNumberFormat="1" applyFont="1" applyBorder="1" applyAlignment="1">
      <alignment horizontal="center" vertical="center"/>
    </xf>
    <xf numFmtId="2" fontId="28" fillId="2" borderId="31" xfId="7" applyNumberFormat="1" applyFont="1" applyFill="1" applyBorder="1" applyAlignment="1">
      <alignment horizontal="center" vertical="center"/>
    </xf>
    <xf numFmtId="164" fontId="28" fillId="2" borderId="31" xfId="7" applyFont="1" applyFill="1" applyBorder="1" applyAlignment="1">
      <alignment horizontal="center" vertical="center"/>
    </xf>
    <xf numFmtId="164" fontId="28" fillId="2" borderId="31" xfId="7" applyFont="1" applyFill="1" applyBorder="1" applyAlignment="1">
      <alignment horizontal="right" vertical="center"/>
    </xf>
    <xf numFmtId="9" fontId="28" fillId="2" borderId="31" xfId="9" applyFont="1" applyFill="1" applyBorder="1" applyAlignment="1">
      <alignment vertical="center"/>
    </xf>
    <xf numFmtId="164" fontId="28" fillId="2" borderId="31" xfId="7" applyFont="1" applyFill="1" applyBorder="1" applyAlignment="1">
      <alignment vertical="center"/>
    </xf>
    <xf numFmtId="0" fontId="30" fillId="2" borderId="31" xfId="5" applyFont="1" applyFill="1" applyBorder="1" applyAlignment="1">
      <alignment vertical="center"/>
    </xf>
    <xf numFmtId="0" fontId="22" fillId="2" borderId="32" xfId="8" applyFont="1" applyFill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3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3" fontId="30" fillId="2" borderId="31" xfId="7" applyNumberFormat="1" applyFont="1" applyFill="1" applyBorder="1" applyAlignment="1">
      <alignment horizontal="right" vertical="center"/>
    </xf>
    <xf numFmtId="164" fontId="27" fillId="0" borderId="0" xfId="7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21" xfId="5" applyFont="1" applyFill="1" applyBorder="1" applyAlignment="1" applyProtection="1">
      <alignment horizontal="left" vertical="center" wrapText="1"/>
      <protection hidden="1"/>
    </xf>
    <xf numFmtId="0" fontId="3" fillId="0" borderId="22" xfId="5" applyFont="1" applyFill="1" applyBorder="1" applyAlignment="1" applyProtection="1">
      <alignment horizontal="left" vertical="center" wrapText="1"/>
      <protection hidden="1"/>
    </xf>
    <xf numFmtId="0" fontId="6" fillId="2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3" fontId="6" fillId="0" borderId="10" xfId="0" applyNumberFormat="1" applyFont="1" applyFill="1" applyBorder="1" applyAlignment="1">
      <alignment horizontal="center" vertical="center"/>
    </xf>
    <xf numFmtId="43" fontId="6" fillId="0" borderId="1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164" fontId="28" fillId="2" borderId="30" xfId="7" applyFont="1" applyFill="1" applyBorder="1" applyAlignment="1">
      <alignment horizontal="right" vertical="center"/>
    </xf>
    <xf numFmtId="164" fontId="28" fillId="2" borderId="31" xfId="7" applyFont="1" applyFill="1" applyBorder="1" applyAlignment="1">
      <alignment horizontal="right" vertical="center"/>
    </xf>
    <xf numFmtId="0" fontId="28" fillId="0" borderId="24" xfId="5" applyFont="1" applyBorder="1" applyAlignment="1">
      <alignment horizontal="left" vertical="center"/>
    </xf>
    <xf numFmtId="4" fontId="22" fillId="0" borderId="24" xfId="5" applyNumberFormat="1" applyFont="1" applyBorder="1" applyAlignment="1" applyProtection="1">
      <alignment horizontal="left" vertical="center"/>
      <protection hidden="1"/>
    </xf>
    <xf numFmtId="4" fontId="22" fillId="0" borderId="24" xfId="5" applyNumberFormat="1" applyFont="1" applyBorder="1" applyAlignment="1" applyProtection="1">
      <alignment horizontal="left" vertical="center" wrapText="1"/>
      <protection hidden="1"/>
    </xf>
    <xf numFmtId="0" fontId="22" fillId="0" borderId="24" xfId="5" applyFont="1" applyBorder="1" applyAlignment="1" applyProtection="1">
      <alignment horizontal="left" vertical="center"/>
      <protection hidden="1"/>
    </xf>
    <xf numFmtId="164" fontId="28" fillId="2" borderId="28" xfId="7" applyFont="1" applyFill="1" applyBorder="1" applyAlignment="1">
      <alignment horizontal="right" vertical="center"/>
    </xf>
    <xf numFmtId="164" fontId="28" fillId="2" borderId="24" xfId="7" applyFont="1" applyFill="1" applyBorder="1" applyAlignment="1">
      <alignment horizontal="right" vertical="center"/>
    </xf>
    <xf numFmtId="0" fontId="22" fillId="0" borderId="24" xfId="5" applyFont="1" applyBorder="1" applyAlignment="1" applyProtection="1">
      <alignment horizontal="left" vertical="center" wrapText="1" indent="1"/>
      <protection hidden="1"/>
    </xf>
    <xf numFmtId="168" fontId="28" fillId="0" borderId="24" xfId="5" applyNumberFormat="1" applyFont="1" applyBorder="1" applyAlignment="1">
      <alignment horizontal="left" vertical="center"/>
    </xf>
    <xf numFmtId="4" fontId="28" fillId="0" borderId="24" xfId="5" applyNumberFormat="1" applyFont="1" applyBorder="1" applyAlignment="1" applyProtection="1">
      <alignment horizontal="left" vertical="center" wrapText="1"/>
      <protection hidden="1"/>
    </xf>
    <xf numFmtId="0" fontId="22" fillId="0" borderId="24" xfId="5" applyFont="1" applyBorder="1" applyAlignment="1" applyProtection="1">
      <alignment horizontal="left" vertical="center" wrapText="1"/>
      <protection hidden="1"/>
    </xf>
    <xf numFmtId="4" fontId="28" fillId="0" borderId="24" xfId="5" applyNumberFormat="1" applyFont="1" applyBorder="1" applyAlignment="1" applyProtection="1">
      <alignment horizontal="left" vertical="center"/>
      <protection hidden="1"/>
    </xf>
    <xf numFmtId="0" fontId="28" fillId="0" borderId="10" xfId="5" applyFont="1" applyBorder="1" applyAlignment="1">
      <alignment horizontal="center" vertical="center" wrapText="1"/>
    </xf>
    <xf numFmtId="0" fontId="28" fillId="0" borderId="12" xfId="5" applyFont="1" applyBorder="1" applyAlignment="1">
      <alignment horizontal="center" vertical="center"/>
    </xf>
    <xf numFmtId="168" fontId="28" fillId="0" borderId="26" xfId="5" applyNumberFormat="1" applyFont="1" applyBorder="1" applyAlignment="1">
      <alignment horizontal="left" vertical="center"/>
    </xf>
    <xf numFmtId="0" fontId="28" fillId="0" borderId="24" xfId="5" applyFont="1" applyBorder="1" applyAlignment="1">
      <alignment horizontal="left" vertical="center" wrapText="1"/>
    </xf>
    <xf numFmtId="4" fontId="28" fillId="0" borderId="10" xfId="5" applyNumberFormat="1" applyFont="1" applyBorder="1" applyAlignment="1" applyProtection="1">
      <alignment horizontal="center" vertical="center" wrapText="1"/>
      <protection hidden="1"/>
    </xf>
    <xf numFmtId="4" fontId="28" fillId="0" borderId="12" xfId="5" applyNumberFormat="1" applyFont="1" applyBorder="1" applyAlignment="1" applyProtection="1">
      <alignment horizontal="center" vertical="center" wrapText="1"/>
      <protection hidden="1"/>
    </xf>
    <xf numFmtId="4" fontId="28" fillId="0" borderId="14" xfId="5" applyNumberFormat="1" applyFont="1" applyBorder="1" applyAlignment="1" applyProtection="1">
      <alignment horizontal="center" vertical="center" wrapText="1"/>
      <protection hidden="1"/>
    </xf>
    <xf numFmtId="4" fontId="28" fillId="0" borderId="16" xfId="5" applyNumberFormat="1" applyFont="1" applyBorder="1" applyAlignment="1" applyProtection="1">
      <alignment horizontal="center" vertical="center" wrapText="1"/>
      <protection hidden="1"/>
    </xf>
    <xf numFmtId="4" fontId="28" fillId="0" borderId="23" xfId="5" applyNumberFormat="1" applyFont="1" applyBorder="1" applyAlignment="1" applyProtection="1">
      <alignment horizontal="center" vertical="center" wrapText="1"/>
      <protection hidden="1"/>
    </xf>
    <xf numFmtId="0" fontId="28" fillId="0" borderId="10" xfId="5" applyFont="1" applyBorder="1" applyAlignment="1">
      <alignment horizontal="center" vertical="center"/>
    </xf>
    <xf numFmtId="168" fontId="23" fillId="0" borderId="24" xfId="5" applyNumberFormat="1" applyFont="1" applyBorder="1" applyAlignment="1">
      <alignment horizontal="left" vertical="center"/>
    </xf>
    <xf numFmtId="4" fontId="28" fillId="0" borderId="2" xfId="5" applyNumberFormat="1" applyFont="1" applyBorder="1" applyAlignment="1" applyProtection="1">
      <alignment horizontal="center" vertical="center" wrapText="1"/>
      <protection hidden="1"/>
    </xf>
    <xf numFmtId="4" fontId="28" fillId="0" borderId="3" xfId="5" applyNumberFormat="1" applyFont="1" applyBorder="1" applyAlignment="1" applyProtection="1">
      <alignment horizontal="center" vertical="center" wrapText="1"/>
      <protection hidden="1"/>
    </xf>
    <xf numFmtId="4" fontId="28" fillId="0" borderId="4" xfId="5" applyNumberFormat="1" applyFont="1" applyBorder="1" applyAlignment="1" applyProtection="1">
      <alignment horizontal="center" vertical="center" wrapText="1"/>
      <protection hidden="1"/>
    </xf>
    <xf numFmtId="4" fontId="28" fillId="0" borderId="5" xfId="5" applyNumberFormat="1" applyFont="1" applyBorder="1" applyAlignment="1" applyProtection="1">
      <alignment horizontal="center" vertical="center" wrapText="1"/>
      <protection hidden="1"/>
    </xf>
    <xf numFmtId="4" fontId="28" fillId="0" borderId="0" xfId="5" applyNumberFormat="1" applyFont="1" applyBorder="1" applyAlignment="1" applyProtection="1">
      <alignment horizontal="center" vertical="center" wrapText="1"/>
      <protection hidden="1"/>
    </xf>
    <xf numFmtId="4" fontId="28" fillId="0" borderId="6" xfId="5" applyNumberFormat="1" applyFont="1" applyBorder="1" applyAlignment="1" applyProtection="1">
      <alignment horizontal="center" vertical="center" wrapText="1"/>
      <protection hidden="1"/>
    </xf>
    <xf numFmtId="2" fontId="28" fillId="0" borderId="2" xfId="5" applyNumberFormat="1" applyFont="1" applyBorder="1" applyAlignment="1" applyProtection="1">
      <alignment horizontal="center" vertical="center" wrapText="1"/>
      <protection hidden="1"/>
    </xf>
    <xf numFmtId="2" fontId="28" fillId="0" borderId="5" xfId="5" applyNumberFormat="1" applyFont="1" applyBorder="1" applyAlignment="1" applyProtection="1">
      <alignment horizontal="center" vertical="center" wrapText="1"/>
      <protection hidden="1"/>
    </xf>
  </cellXfs>
  <cellStyles count="11">
    <cellStyle name="Comma" xfId="1" builtinId="3"/>
    <cellStyle name="Comma 15" xfId="2" xr:uid="{00000000-0005-0000-0000-000001000000}"/>
    <cellStyle name="Comma 2" xfId="7" xr:uid="{00000000-0005-0000-0000-000002000000}"/>
    <cellStyle name="Comma 20" xfId="3" xr:uid="{00000000-0005-0000-0000-000003000000}"/>
    <cellStyle name="Comma 4" xfId="6" xr:uid="{00000000-0005-0000-0000-000004000000}"/>
    <cellStyle name="Normal" xfId="0" builtinId="0"/>
    <cellStyle name="Normal 2" xfId="8" xr:uid="{00000000-0005-0000-0000-000006000000}"/>
    <cellStyle name="Normal 3" xfId="10" xr:uid="{733F780F-53DD-4220-A6A3-B31A86FD1657}"/>
    <cellStyle name="Normal 6" xfId="5" xr:uid="{00000000-0005-0000-0000-000007000000}"/>
    <cellStyle name="Percent" xfId="4" builtinId="5"/>
    <cellStyle name="Percent 2" xfId="9" xr:uid="{D392E85F-5A1C-4A1B-854A-51AB488A87B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474</xdr:row>
      <xdr:rowOff>152401</xdr:rowOff>
    </xdr:from>
    <xdr:to>
      <xdr:col>12</xdr:col>
      <xdr:colOff>411480</xdr:colOff>
      <xdr:row>524</xdr:row>
      <xdr:rowOff>162616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BB2BF5-8F87-0374-70D3-789DFF2B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358581"/>
          <a:ext cx="8458200" cy="2509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ckac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Oct2008"/>
      <sheetName val="30Apr2008"/>
      <sheetName val="31Mar2008"/>
      <sheetName val="31Jan2008"/>
      <sheetName val="31Dec2007"/>
      <sheetName val="ATMs"/>
      <sheetName val="Const&amp;Reno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5035-7D66-49D8-AEEB-B894EEB3C38A}">
  <dimension ref="A1:BQ553"/>
  <sheetViews>
    <sheetView view="pageBreakPreview" zoomScale="85" zoomScaleNormal="80" zoomScaleSheetLayoutView="85" workbookViewId="0">
      <pane ySplit="7" topLeftCell="A96" activePane="bottomLeft" state="frozen"/>
      <selection pane="bottomLeft" activeCell="E113" sqref="E113"/>
    </sheetView>
  </sheetViews>
  <sheetFormatPr defaultColWidth="9.33203125" defaultRowHeight="13.2" outlineLevelRow="1" outlineLevelCol="1" x14ac:dyDescent="0.25"/>
  <cols>
    <col min="1" max="2" width="12.109375" style="6" customWidth="1"/>
    <col min="3" max="3" width="12.33203125" style="6" customWidth="1"/>
    <col min="4" max="4" width="9.88671875" style="6" customWidth="1"/>
    <col min="5" max="5" width="12.33203125" style="6" customWidth="1"/>
    <col min="6" max="6" width="41.33203125" style="6" customWidth="1"/>
    <col min="7" max="7" width="10.109375" style="6" customWidth="1"/>
    <col min="8" max="8" width="7.109375" style="6" customWidth="1"/>
    <col min="9" max="9" width="13.109375" style="6" hidden="1" customWidth="1" outlineLevel="1"/>
    <col min="10" max="10" width="11.33203125" style="6" hidden="1" customWidth="1" outlineLevel="1"/>
    <col min="11" max="11" width="10.77734375" style="6" hidden="1" customWidth="1" outlineLevel="1"/>
    <col min="12" max="12" width="11.33203125" style="6" hidden="1" customWidth="1" outlineLevel="1"/>
    <col min="13" max="13" width="20.6640625" style="6" customWidth="1" collapsed="1"/>
    <col min="14" max="14" width="16" style="6" customWidth="1"/>
    <col min="15" max="15" width="13.109375" style="6" customWidth="1"/>
    <col min="16" max="16" width="8.33203125" style="9" customWidth="1"/>
    <col min="17" max="17" width="14.33203125" style="6" customWidth="1"/>
    <col min="18" max="18" width="14.109375" style="10" customWidth="1"/>
    <col min="19" max="21" width="20.6640625" style="10" customWidth="1"/>
    <col min="22" max="22" width="13.88671875" style="47" bestFit="1" customWidth="1"/>
    <col min="23" max="23" width="13.88671875" style="7" customWidth="1"/>
    <col min="24" max="16384" width="9.33203125" style="6"/>
  </cols>
  <sheetData>
    <row r="1" spans="1:23" s="1" customFormat="1" x14ac:dyDescent="0.25">
      <c r="A1" s="594" t="s">
        <v>177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47"/>
      <c r="W1" s="3"/>
    </row>
    <row r="2" spans="1:23" s="1" customFormat="1" x14ac:dyDescent="0.25">
      <c r="A2" s="595" t="s">
        <v>139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47"/>
      <c r="W2" s="3"/>
    </row>
    <row r="3" spans="1:23" s="1" customFormat="1" x14ac:dyDescent="0.25">
      <c r="A3" s="594" t="s">
        <v>178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47"/>
      <c r="W3" s="3"/>
    </row>
    <row r="4" spans="1:23" s="1" customFormat="1" x14ac:dyDescent="0.25">
      <c r="A4" s="595" t="s">
        <v>24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47"/>
      <c r="W4" s="3"/>
    </row>
    <row r="5" spans="1:23" s="1" customFormat="1" ht="13.5" customHeight="1" thickBot="1" x14ac:dyDescent="0.3">
      <c r="A5" s="6"/>
      <c r="B5" s="6"/>
      <c r="I5" s="6"/>
      <c r="J5" s="6"/>
      <c r="K5" s="6"/>
      <c r="L5" s="6"/>
      <c r="P5" s="18"/>
      <c r="R5" s="4"/>
      <c r="S5" s="4"/>
      <c r="T5" s="4"/>
      <c r="U5" s="4"/>
      <c r="V5" s="47"/>
      <c r="W5" s="3"/>
    </row>
    <row r="6" spans="1:23" s="2" customFormat="1" ht="20.100000000000001" customHeight="1" x14ac:dyDescent="0.25">
      <c r="A6" s="596" t="s">
        <v>0</v>
      </c>
      <c r="B6" s="598" t="s">
        <v>1</v>
      </c>
      <c r="C6" s="599"/>
      <c r="D6" s="599"/>
      <c r="E6" s="599"/>
      <c r="F6" s="600"/>
      <c r="G6" s="596" t="s">
        <v>2</v>
      </c>
      <c r="H6" s="596" t="s">
        <v>3</v>
      </c>
      <c r="I6" s="604" t="s">
        <v>79</v>
      </c>
      <c r="J6" s="604" t="s">
        <v>78</v>
      </c>
      <c r="K6" s="604" t="s">
        <v>25</v>
      </c>
      <c r="L6" s="611" t="s">
        <v>92</v>
      </c>
      <c r="M6" s="483" t="s">
        <v>26</v>
      </c>
      <c r="N6" s="598" t="s">
        <v>4</v>
      </c>
      <c r="O6" s="600"/>
      <c r="P6" s="598" t="s">
        <v>5</v>
      </c>
      <c r="Q6" s="600"/>
      <c r="R6" s="613" t="s">
        <v>6</v>
      </c>
      <c r="S6" s="485" t="s">
        <v>7</v>
      </c>
      <c r="T6" s="485" t="s">
        <v>7</v>
      </c>
      <c r="U6" s="485" t="s">
        <v>3</v>
      </c>
      <c r="V6" s="48" t="s">
        <v>138</v>
      </c>
      <c r="W6" s="45"/>
    </row>
    <row r="7" spans="1:23" s="1" customFormat="1" ht="13.8" thickBot="1" x14ac:dyDescent="0.3">
      <c r="A7" s="597"/>
      <c r="B7" s="601"/>
      <c r="C7" s="602"/>
      <c r="D7" s="602"/>
      <c r="E7" s="602"/>
      <c r="F7" s="603"/>
      <c r="G7" s="597"/>
      <c r="H7" s="597"/>
      <c r="I7" s="605"/>
      <c r="J7" s="605"/>
      <c r="K7" s="605"/>
      <c r="L7" s="612"/>
      <c r="M7" s="484" t="s">
        <v>8</v>
      </c>
      <c r="N7" s="477" t="s">
        <v>9</v>
      </c>
      <c r="O7" s="478" t="s">
        <v>10</v>
      </c>
      <c r="P7" s="263" t="s">
        <v>11</v>
      </c>
      <c r="Q7" s="478" t="s">
        <v>12</v>
      </c>
      <c r="R7" s="614"/>
      <c r="S7" s="486" t="s">
        <v>13</v>
      </c>
      <c r="T7" s="486" t="s">
        <v>14</v>
      </c>
      <c r="U7" s="486" t="s">
        <v>14</v>
      </c>
      <c r="V7" s="47"/>
      <c r="W7" s="3"/>
    </row>
    <row r="8" spans="1:23" ht="8.1" customHeight="1" x14ac:dyDescent="0.25">
      <c r="A8" s="139"/>
      <c r="B8" s="126"/>
      <c r="C8" s="481"/>
      <c r="D8" s="481"/>
      <c r="E8" s="481"/>
      <c r="F8" s="160"/>
      <c r="G8" s="140"/>
      <c r="H8" s="140"/>
      <c r="I8" s="12"/>
      <c r="J8" s="12"/>
      <c r="K8" s="12"/>
      <c r="L8" s="12"/>
      <c r="M8" s="139"/>
      <c r="N8" s="126"/>
      <c r="O8" s="176"/>
      <c r="P8" s="264"/>
      <c r="Q8" s="176"/>
      <c r="R8" s="271"/>
      <c r="S8" s="271"/>
      <c r="T8" s="271"/>
      <c r="U8" s="271"/>
    </row>
    <row r="9" spans="1:23" x14ac:dyDescent="0.25">
      <c r="A9" s="140">
        <v>1</v>
      </c>
      <c r="B9" s="161" t="s">
        <v>40</v>
      </c>
      <c r="C9" s="481"/>
      <c r="D9" s="2"/>
      <c r="E9" s="2"/>
      <c r="F9" s="162"/>
      <c r="G9" s="156"/>
      <c r="H9" s="156"/>
      <c r="M9" s="150"/>
      <c r="N9" s="188"/>
      <c r="O9" s="129"/>
      <c r="P9" s="265"/>
      <c r="Q9" s="129"/>
      <c r="R9" s="229"/>
      <c r="S9" s="229"/>
      <c r="T9" s="229"/>
      <c r="U9" s="229"/>
    </row>
    <row r="10" spans="1:23" x14ac:dyDescent="0.25">
      <c r="A10" s="306">
        <v>1.1000000000000001</v>
      </c>
      <c r="B10" s="307"/>
      <c r="C10" s="308" t="s">
        <v>33</v>
      </c>
      <c r="D10" s="309"/>
      <c r="E10" s="309"/>
      <c r="F10" s="310"/>
      <c r="G10" s="311">
        <v>1</v>
      </c>
      <c r="H10" s="312" t="s">
        <v>15</v>
      </c>
      <c r="I10" s="313">
        <f>F18</f>
        <v>5500</v>
      </c>
      <c r="J10" s="313">
        <f>F23</f>
        <v>15580</v>
      </c>
      <c r="K10" s="314"/>
      <c r="L10" s="315">
        <f>SUM(I10:K10)/G10</f>
        <v>21080</v>
      </c>
      <c r="M10" s="488">
        <f>G10*L10</f>
        <v>21080</v>
      </c>
      <c r="N10" s="316">
        <v>0</v>
      </c>
      <c r="O10" s="317">
        <f>ROUND(M10*0.08,2)</f>
        <v>1686.4</v>
      </c>
      <c r="P10" s="318">
        <v>0.1</v>
      </c>
      <c r="Q10" s="317">
        <f>P10*M10</f>
        <v>2108</v>
      </c>
      <c r="R10" s="319">
        <f>ROUND((M10+Q10)*0.05,2)</f>
        <v>1159.4000000000001</v>
      </c>
      <c r="S10" s="320">
        <f>R10+Q10</f>
        <v>3267.4</v>
      </c>
      <c r="T10" s="320">
        <f t="shared" ref="T10:T90" si="0">M10+S10</f>
        <v>24347.4</v>
      </c>
      <c r="U10" s="320">
        <f>T10/G10</f>
        <v>24347.4</v>
      </c>
    </row>
    <row r="11" spans="1:23" ht="7.5" hidden="1" customHeight="1" outlineLevel="1" x14ac:dyDescent="0.25">
      <c r="A11" s="142"/>
      <c r="B11" s="128"/>
      <c r="C11" s="33"/>
      <c r="D11" s="33"/>
      <c r="E11" s="33"/>
      <c r="F11" s="165"/>
      <c r="G11" s="221"/>
      <c r="H11" s="234"/>
      <c r="I11" s="86"/>
      <c r="J11" s="86"/>
      <c r="K11" s="86"/>
      <c r="L11" s="86"/>
      <c r="M11" s="489"/>
      <c r="N11" s="250"/>
      <c r="O11" s="135"/>
      <c r="P11" s="266"/>
      <c r="Q11" s="135"/>
      <c r="R11" s="150"/>
      <c r="S11" s="150"/>
      <c r="T11" s="284"/>
      <c r="U11" s="150"/>
    </row>
    <row r="12" spans="1:23" ht="12.75" hidden="1" customHeight="1" outlineLevel="1" x14ac:dyDescent="0.25">
      <c r="A12" s="142"/>
      <c r="B12" s="131" t="s">
        <v>41</v>
      </c>
      <c r="C12" s="59" t="s">
        <v>43</v>
      </c>
      <c r="D12" s="59" t="s">
        <v>44</v>
      </c>
      <c r="E12" s="59" t="s">
        <v>45</v>
      </c>
      <c r="F12" s="166" t="s">
        <v>46</v>
      </c>
      <c r="G12" s="221"/>
      <c r="H12" s="234"/>
      <c r="I12" s="86"/>
      <c r="J12" s="86"/>
      <c r="K12" s="86"/>
      <c r="L12" s="86"/>
      <c r="M12" s="489"/>
      <c r="N12" s="250"/>
      <c r="O12" s="135"/>
      <c r="P12" s="266"/>
      <c r="Q12" s="135"/>
      <c r="R12" s="150"/>
      <c r="S12" s="150"/>
      <c r="T12" s="284"/>
      <c r="U12" s="150"/>
    </row>
    <row r="13" spans="1:23" s="17" customFormat="1" ht="12.75" hidden="1" customHeight="1" outlineLevel="1" x14ac:dyDescent="0.25">
      <c r="A13" s="142"/>
      <c r="B13" s="167" t="s">
        <v>62</v>
      </c>
      <c r="C13" s="62">
        <v>4</v>
      </c>
      <c r="D13" s="62" t="s">
        <v>63</v>
      </c>
      <c r="E13" s="97">
        <v>800</v>
      </c>
      <c r="F13" s="168">
        <f t="shared" ref="F13:F17" si="1">E13*C13</f>
        <v>3200</v>
      </c>
      <c r="G13" s="221"/>
      <c r="H13" s="234"/>
      <c r="I13" s="86"/>
      <c r="J13" s="86"/>
      <c r="K13" s="86"/>
      <c r="L13" s="86"/>
      <c r="M13" s="157"/>
      <c r="N13" s="250"/>
      <c r="O13" s="135"/>
      <c r="P13" s="266"/>
      <c r="Q13" s="135"/>
      <c r="R13" s="142"/>
      <c r="S13" s="142"/>
      <c r="T13" s="285"/>
      <c r="U13" s="142"/>
      <c r="V13" s="93"/>
      <c r="W13" s="54"/>
    </row>
    <row r="14" spans="1:23" s="17" customFormat="1" ht="12.75" hidden="1" customHeight="1" outlineLevel="1" x14ac:dyDescent="0.25">
      <c r="A14" s="142"/>
      <c r="B14" s="132" t="s">
        <v>64</v>
      </c>
      <c r="C14" s="65">
        <v>4</v>
      </c>
      <c r="D14" s="65" t="s">
        <v>65</v>
      </c>
      <c r="E14" s="98">
        <v>300</v>
      </c>
      <c r="F14" s="168">
        <f t="shared" si="1"/>
        <v>1200</v>
      </c>
      <c r="G14" s="221"/>
      <c r="H14" s="234"/>
      <c r="I14" s="86"/>
      <c r="J14" s="86"/>
      <c r="K14" s="86"/>
      <c r="L14" s="86"/>
      <c r="M14" s="157"/>
      <c r="N14" s="250"/>
      <c r="O14" s="135"/>
      <c r="P14" s="266"/>
      <c r="Q14" s="135"/>
      <c r="R14" s="142"/>
      <c r="S14" s="142"/>
      <c r="T14" s="285"/>
      <c r="U14" s="142"/>
      <c r="V14" s="93"/>
      <c r="W14" s="54"/>
    </row>
    <row r="15" spans="1:23" s="17" customFormat="1" ht="12.75" hidden="1" customHeight="1" outlineLevel="1" x14ac:dyDescent="0.25">
      <c r="A15" s="142"/>
      <c r="B15" s="132" t="s">
        <v>66</v>
      </c>
      <c r="C15" s="65">
        <v>1</v>
      </c>
      <c r="D15" s="65" t="s">
        <v>15</v>
      </c>
      <c r="E15" s="98">
        <v>300</v>
      </c>
      <c r="F15" s="168">
        <f t="shared" si="1"/>
        <v>300</v>
      </c>
      <c r="G15" s="221"/>
      <c r="H15" s="234"/>
      <c r="I15" s="86"/>
      <c r="J15" s="86"/>
      <c r="K15" s="86"/>
      <c r="L15" s="86"/>
      <c r="M15" s="157"/>
      <c r="N15" s="250"/>
      <c r="O15" s="135"/>
      <c r="P15" s="266"/>
      <c r="Q15" s="135"/>
      <c r="R15" s="142"/>
      <c r="S15" s="142"/>
      <c r="T15" s="285"/>
      <c r="U15" s="142"/>
      <c r="V15" s="93"/>
      <c r="W15" s="54"/>
    </row>
    <row r="16" spans="1:23" ht="12.75" hidden="1" customHeight="1" outlineLevel="1" x14ac:dyDescent="0.25">
      <c r="A16" s="142"/>
      <c r="B16" s="167" t="s">
        <v>67</v>
      </c>
      <c r="C16" s="62">
        <v>1</v>
      </c>
      <c r="D16" s="62" t="s">
        <v>15</v>
      </c>
      <c r="E16" s="98">
        <v>300</v>
      </c>
      <c r="F16" s="168">
        <f t="shared" si="1"/>
        <v>300</v>
      </c>
      <c r="G16" s="221"/>
      <c r="H16" s="234"/>
      <c r="I16" s="86"/>
      <c r="J16" s="86"/>
      <c r="K16" s="86"/>
      <c r="L16" s="86"/>
      <c r="M16" s="489"/>
      <c r="N16" s="250"/>
      <c r="O16" s="135"/>
      <c r="P16" s="266"/>
      <c r="Q16" s="135"/>
      <c r="R16" s="150"/>
      <c r="S16" s="150"/>
      <c r="T16" s="284"/>
      <c r="U16" s="150"/>
    </row>
    <row r="17" spans="1:23" ht="12.75" hidden="1" customHeight="1" outlineLevel="1" x14ac:dyDescent="0.25">
      <c r="A17" s="142"/>
      <c r="B17" s="167" t="s">
        <v>57</v>
      </c>
      <c r="C17" s="62">
        <v>1</v>
      </c>
      <c r="D17" s="62" t="s">
        <v>15</v>
      </c>
      <c r="E17" s="97">
        <v>500</v>
      </c>
      <c r="F17" s="169">
        <f t="shared" si="1"/>
        <v>500</v>
      </c>
      <c r="G17" s="221"/>
      <c r="H17" s="234"/>
      <c r="I17" s="86"/>
      <c r="J17" s="86"/>
      <c r="K17" s="86"/>
      <c r="L17" s="86"/>
      <c r="M17" s="489"/>
      <c r="N17" s="250"/>
      <c r="O17" s="135"/>
      <c r="P17" s="266"/>
      <c r="Q17" s="135"/>
      <c r="R17" s="150"/>
      <c r="S17" s="150"/>
      <c r="T17" s="284"/>
      <c r="U17" s="150"/>
    </row>
    <row r="18" spans="1:23" ht="12.75" hidden="1" customHeight="1" outlineLevel="1" x14ac:dyDescent="0.25">
      <c r="A18" s="142"/>
      <c r="B18" s="134"/>
      <c r="C18" s="65"/>
      <c r="D18" s="99" t="s">
        <v>58</v>
      </c>
      <c r="E18" s="33"/>
      <c r="F18" s="170">
        <f>SUM(F13:F17)</f>
        <v>5500</v>
      </c>
      <c r="G18" s="221"/>
      <c r="H18" s="234"/>
      <c r="I18" s="86"/>
      <c r="J18" s="86"/>
      <c r="K18" s="86"/>
      <c r="L18" s="86"/>
      <c r="M18" s="489"/>
      <c r="N18" s="250"/>
      <c r="O18" s="135"/>
      <c r="P18" s="266"/>
      <c r="Q18" s="135"/>
      <c r="R18" s="150"/>
      <c r="S18" s="150"/>
      <c r="T18" s="284"/>
      <c r="U18" s="150"/>
    </row>
    <row r="19" spans="1:23" s="17" customFormat="1" ht="12.75" hidden="1" customHeight="1" outlineLevel="1" x14ac:dyDescent="0.25">
      <c r="A19" s="143" t="s">
        <v>47</v>
      </c>
      <c r="B19" s="131" t="s">
        <v>42</v>
      </c>
      <c r="C19" s="59" t="s">
        <v>43</v>
      </c>
      <c r="D19" s="59" t="s">
        <v>59</v>
      </c>
      <c r="E19" s="59" t="s">
        <v>45</v>
      </c>
      <c r="F19" s="166" t="s">
        <v>46</v>
      </c>
      <c r="G19" s="221"/>
      <c r="H19" s="234"/>
      <c r="I19" s="86"/>
      <c r="J19" s="86"/>
      <c r="K19" s="86"/>
      <c r="L19" s="86"/>
      <c r="M19" s="157"/>
      <c r="N19" s="250"/>
      <c r="O19" s="135"/>
      <c r="P19" s="266"/>
      <c r="Q19" s="135"/>
      <c r="R19" s="142"/>
      <c r="S19" s="142"/>
      <c r="T19" s="285"/>
      <c r="U19" s="142"/>
      <c r="V19" s="93"/>
      <c r="W19" s="54"/>
    </row>
    <row r="20" spans="1:23" s="17" customFormat="1" ht="12.75" hidden="1" customHeight="1" outlineLevel="1" x14ac:dyDescent="0.25">
      <c r="A20" s="144">
        <v>1</v>
      </c>
      <c r="B20" s="132" t="s">
        <v>140</v>
      </c>
      <c r="C20" s="65">
        <v>7</v>
      </c>
      <c r="D20" s="65" t="s">
        <v>60</v>
      </c>
      <c r="E20" s="98">
        <f>105*8</f>
        <v>840</v>
      </c>
      <c r="F20" s="171">
        <f>E20*C20*A20</f>
        <v>5880</v>
      </c>
      <c r="G20" s="221"/>
      <c r="H20" s="234"/>
      <c r="I20" s="86"/>
      <c r="J20" s="86"/>
      <c r="K20" s="86"/>
      <c r="L20" s="86"/>
      <c r="M20" s="157"/>
      <c r="N20" s="250"/>
      <c r="O20" s="135"/>
      <c r="P20" s="266"/>
      <c r="Q20" s="135"/>
      <c r="R20" s="142"/>
      <c r="S20" s="142"/>
      <c r="T20" s="285"/>
      <c r="U20" s="142"/>
      <c r="V20" s="93"/>
      <c r="W20" s="54"/>
    </row>
    <row r="21" spans="1:23" s="17" customFormat="1" ht="12.75" hidden="1" customHeight="1" outlineLevel="1" x14ac:dyDescent="0.25">
      <c r="A21" s="144">
        <v>1</v>
      </c>
      <c r="B21" s="132" t="s">
        <v>141</v>
      </c>
      <c r="C21" s="65">
        <v>7</v>
      </c>
      <c r="D21" s="65" t="s">
        <v>60</v>
      </c>
      <c r="E21" s="98">
        <f>75*8</f>
        <v>600</v>
      </c>
      <c r="F21" s="172">
        <f>E21*C21*A21</f>
        <v>4200</v>
      </c>
      <c r="G21" s="221"/>
      <c r="H21" s="234"/>
      <c r="I21" s="86"/>
      <c r="J21" s="86"/>
      <c r="K21" s="86"/>
      <c r="L21" s="86"/>
      <c r="M21" s="157"/>
      <c r="N21" s="250"/>
      <c r="O21" s="135"/>
      <c r="P21" s="266"/>
      <c r="Q21" s="135"/>
      <c r="R21" s="142"/>
      <c r="S21" s="142"/>
      <c r="T21" s="285"/>
      <c r="U21" s="142"/>
      <c r="V21" s="93"/>
      <c r="W21" s="54"/>
    </row>
    <row r="22" spans="1:23" ht="12.75" hidden="1" customHeight="1" outlineLevel="1" x14ac:dyDescent="0.25">
      <c r="A22" s="142"/>
      <c r="B22" s="134"/>
      <c r="C22" s="58"/>
      <c r="D22" s="99" t="s">
        <v>61</v>
      </c>
      <c r="E22" s="33"/>
      <c r="F22" s="173">
        <f>SUM(F20:F21)</f>
        <v>10080</v>
      </c>
      <c r="G22" s="221"/>
      <c r="H22" s="234"/>
      <c r="I22" s="86"/>
      <c r="J22" s="86"/>
      <c r="K22" s="86"/>
      <c r="L22" s="86"/>
      <c r="M22" s="489"/>
      <c r="N22" s="250"/>
      <c r="O22" s="135"/>
      <c r="P22" s="266"/>
      <c r="Q22" s="135"/>
      <c r="R22" s="150"/>
      <c r="S22" s="150"/>
      <c r="T22" s="284"/>
      <c r="U22" s="150"/>
    </row>
    <row r="23" spans="1:23" ht="12.75" hidden="1" customHeight="1" outlineLevel="1" x14ac:dyDescent="0.25">
      <c r="A23" s="142"/>
      <c r="B23" s="134"/>
      <c r="C23" s="58"/>
      <c r="D23" s="99" t="s">
        <v>46</v>
      </c>
      <c r="E23" s="33"/>
      <c r="F23" s="174">
        <f>F22+F18</f>
        <v>15580</v>
      </c>
      <c r="G23" s="221"/>
      <c r="H23" s="234"/>
      <c r="I23" s="86"/>
      <c r="J23" s="86"/>
      <c r="K23" s="86"/>
      <c r="L23" s="86"/>
      <c r="M23" s="489"/>
      <c r="N23" s="250"/>
      <c r="O23" s="135"/>
      <c r="P23" s="266"/>
      <c r="Q23" s="135"/>
      <c r="R23" s="150"/>
      <c r="S23" s="150"/>
      <c r="T23" s="284"/>
      <c r="U23" s="150"/>
    </row>
    <row r="24" spans="1:23" ht="7.5" hidden="1" customHeight="1" outlineLevel="1" x14ac:dyDescent="0.25">
      <c r="A24" s="142"/>
      <c r="B24" s="128"/>
      <c r="C24" s="33"/>
      <c r="D24" s="33"/>
      <c r="E24" s="33"/>
      <c r="F24" s="165"/>
      <c r="G24" s="221"/>
      <c r="H24" s="234"/>
      <c r="I24" s="86"/>
      <c r="J24" s="86"/>
      <c r="K24" s="86"/>
      <c r="L24" s="86"/>
      <c r="M24" s="489"/>
      <c r="N24" s="250"/>
      <c r="O24" s="135"/>
      <c r="P24" s="266"/>
      <c r="Q24" s="135"/>
      <c r="R24" s="150"/>
      <c r="S24" s="150"/>
      <c r="T24" s="284"/>
      <c r="U24" s="150"/>
    </row>
    <row r="25" spans="1:23" collapsed="1" x14ac:dyDescent="0.25">
      <c r="A25" s="290">
        <v>1.2</v>
      </c>
      <c r="B25" s="291"/>
      <c r="C25" s="292" t="s">
        <v>34</v>
      </c>
      <c r="D25" s="293"/>
      <c r="E25" s="293"/>
      <c r="F25" s="294"/>
      <c r="G25" s="295">
        <v>1</v>
      </c>
      <c r="H25" s="296" t="s">
        <v>15</v>
      </c>
      <c r="I25" s="321">
        <f>F32</f>
        <v>20582</v>
      </c>
      <c r="J25" s="297">
        <f>F35</f>
        <v>7840</v>
      </c>
      <c r="K25" s="298"/>
      <c r="L25" s="299">
        <f>SUM(I25:K25)/G25</f>
        <v>28422</v>
      </c>
      <c r="M25" s="490">
        <f>L25</f>
        <v>28422</v>
      </c>
      <c r="N25" s="301">
        <v>0</v>
      </c>
      <c r="O25" s="322">
        <v>0</v>
      </c>
      <c r="P25" s="303">
        <f t="shared" ref="P25:P85" si="2">(N25+O25)/(M25)</f>
        <v>0</v>
      </c>
      <c r="Q25" s="302">
        <f>P25*M25</f>
        <v>0</v>
      </c>
      <c r="R25" s="304">
        <f>ROUND((M25+Q25)*0.05,2)</f>
        <v>1421.1</v>
      </c>
      <c r="S25" s="305">
        <f>R25+Q25</f>
        <v>1421.1</v>
      </c>
      <c r="T25" s="305">
        <f>M25+S25</f>
        <v>29843.1</v>
      </c>
      <c r="U25" s="305">
        <f>T25/G25</f>
        <v>29843.1</v>
      </c>
    </row>
    <row r="26" spans="1:23" ht="7.5" hidden="1" customHeight="1" outlineLevel="1" x14ac:dyDescent="0.25">
      <c r="A26" s="142"/>
      <c r="B26" s="128"/>
      <c r="C26" s="33"/>
      <c r="D26" s="33"/>
      <c r="E26" s="33"/>
      <c r="F26" s="165"/>
      <c r="G26" s="221"/>
      <c r="H26" s="234"/>
      <c r="I26" s="86"/>
      <c r="J26" s="86"/>
      <c r="K26" s="86"/>
      <c r="L26" s="86"/>
      <c r="M26" s="489"/>
      <c r="N26" s="250"/>
      <c r="O26" s="135"/>
      <c r="P26" s="266"/>
      <c r="Q26" s="135"/>
      <c r="R26" s="150"/>
      <c r="S26" s="150"/>
      <c r="T26" s="284"/>
      <c r="U26" s="150"/>
    </row>
    <row r="27" spans="1:23" s="17" customFormat="1" ht="12.75" hidden="1" customHeight="1" outlineLevel="1" x14ac:dyDescent="0.25">
      <c r="A27" s="142"/>
      <c r="B27" s="132" t="s">
        <v>49</v>
      </c>
      <c r="C27" s="65">
        <v>7</v>
      </c>
      <c r="D27" s="65" t="s">
        <v>50</v>
      </c>
      <c r="E27" s="98"/>
      <c r="F27" s="175"/>
      <c r="G27" s="151"/>
      <c r="H27" s="221"/>
      <c r="I27" s="35"/>
      <c r="J27" s="86"/>
      <c r="K27" s="86"/>
      <c r="L27" s="86"/>
      <c r="M27" s="247"/>
      <c r="N27" s="251"/>
      <c r="O27" s="135"/>
      <c r="P27" s="250"/>
      <c r="Q27" s="133"/>
      <c r="R27" s="273"/>
      <c r="S27" s="273"/>
      <c r="T27" s="142"/>
      <c r="U27" s="142"/>
      <c r="V27" s="50"/>
      <c r="W27" s="54"/>
    </row>
    <row r="28" spans="1:23" s="17" customFormat="1" ht="12.75" hidden="1" customHeight="1" outlineLevel="1" x14ac:dyDescent="0.25">
      <c r="A28" s="142"/>
      <c r="B28" s="131" t="s">
        <v>41</v>
      </c>
      <c r="C28" s="59" t="s">
        <v>43</v>
      </c>
      <c r="D28" s="59" t="s">
        <v>44</v>
      </c>
      <c r="E28" s="59" t="s">
        <v>45</v>
      </c>
      <c r="F28" s="166" t="s">
        <v>46</v>
      </c>
      <c r="G28" s="222"/>
      <c r="H28" s="221"/>
      <c r="I28" s="35"/>
      <c r="J28" s="86"/>
      <c r="K28" s="86"/>
      <c r="L28" s="86"/>
      <c r="M28" s="247"/>
      <c r="N28" s="251"/>
      <c r="O28" s="135"/>
      <c r="P28" s="250"/>
      <c r="Q28" s="133"/>
      <c r="R28" s="273"/>
      <c r="S28" s="273"/>
      <c r="T28" s="142"/>
      <c r="U28" s="142"/>
      <c r="V28" s="50"/>
      <c r="W28" s="54"/>
    </row>
    <row r="29" spans="1:23" s="17" customFormat="1" ht="12.75" hidden="1" customHeight="1" outlineLevel="1" x14ac:dyDescent="0.25">
      <c r="A29" s="142"/>
      <c r="B29" s="132" t="s">
        <v>51</v>
      </c>
      <c r="C29" s="65">
        <v>3</v>
      </c>
      <c r="D29" s="65" t="s">
        <v>52</v>
      </c>
      <c r="E29" s="98">
        <v>110</v>
      </c>
      <c r="F29" s="168">
        <f>E29*C29</f>
        <v>330</v>
      </c>
      <c r="G29" s="151"/>
      <c r="H29" s="221"/>
      <c r="I29" s="35"/>
      <c r="J29" s="86"/>
      <c r="K29" s="86"/>
      <c r="L29" s="86"/>
      <c r="M29" s="247"/>
      <c r="N29" s="251"/>
      <c r="O29" s="135"/>
      <c r="P29" s="250"/>
      <c r="Q29" s="133"/>
      <c r="R29" s="273"/>
      <c r="S29" s="273"/>
      <c r="T29" s="142"/>
      <c r="U29" s="142"/>
      <c r="V29" s="50"/>
      <c r="W29" s="54"/>
    </row>
    <row r="30" spans="1:23" s="17" customFormat="1" ht="12.75" hidden="1" customHeight="1" outlineLevel="1" x14ac:dyDescent="0.25">
      <c r="A30" s="142"/>
      <c r="B30" s="132" t="s">
        <v>53</v>
      </c>
      <c r="C30" s="65">
        <f>C29*C27</f>
        <v>21</v>
      </c>
      <c r="D30" s="65" t="s">
        <v>54</v>
      </c>
      <c r="E30" s="98">
        <v>12</v>
      </c>
      <c r="F30" s="168">
        <f>E30*C30</f>
        <v>252</v>
      </c>
      <c r="G30" s="151"/>
      <c r="H30" s="221"/>
      <c r="I30" s="35"/>
      <c r="J30" s="86"/>
      <c r="K30" s="86"/>
      <c r="L30" s="86"/>
      <c r="M30" s="247"/>
      <c r="N30" s="251"/>
      <c r="O30" s="135"/>
      <c r="P30" s="250"/>
      <c r="Q30" s="133"/>
      <c r="R30" s="273"/>
      <c r="S30" s="273"/>
      <c r="T30" s="142"/>
      <c r="U30" s="142"/>
      <c r="V30" s="50"/>
      <c r="W30" s="54"/>
    </row>
    <row r="31" spans="1:23" s="17" customFormat="1" ht="12.75" hidden="1" customHeight="1" outlineLevel="1" x14ac:dyDescent="0.25">
      <c r="A31" s="142"/>
      <c r="B31" s="132" t="s">
        <v>55</v>
      </c>
      <c r="C31" s="65">
        <v>2</v>
      </c>
      <c r="D31" s="65" t="s">
        <v>50</v>
      </c>
      <c r="E31" s="98">
        <v>10000</v>
      </c>
      <c r="F31" s="169">
        <f>E31*C31</f>
        <v>20000</v>
      </c>
      <c r="G31" s="151"/>
      <c r="H31" s="221"/>
      <c r="I31" s="35"/>
      <c r="J31" s="86"/>
      <c r="K31" s="86"/>
      <c r="L31" s="86"/>
      <c r="M31" s="247"/>
      <c r="N31" s="251"/>
      <c r="O31" s="135"/>
      <c r="P31" s="250"/>
      <c r="Q31" s="133"/>
      <c r="R31" s="273"/>
      <c r="S31" s="273"/>
      <c r="T31" s="142"/>
      <c r="U31" s="142"/>
      <c r="V31" s="50"/>
      <c r="W31" s="54"/>
    </row>
    <row r="32" spans="1:23" ht="12.75" hidden="1" customHeight="1" outlineLevel="1" x14ac:dyDescent="0.25">
      <c r="A32" s="142"/>
      <c r="B32" s="134"/>
      <c r="C32" s="65"/>
      <c r="D32" s="99" t="s">
        <v>58</v>
      </c>
      <c r="E32" s="33"/>
      <c r="F32" s="170">
        <f>SUM(F29:F31)</f>
        <v>20582</v>
      </c>
      <c r="G32" s="221"/>
      <c r="H32" s="234"/>
      <c r="I32" s="86"/>
      <c r="J32" s="86"/>
      <c r="K32" s="86"/>
      <c r="L32" s="86"/>
      <c r="M32" s="489"/>
      <c r="N32" s="250"/>
      <c r="O32" s="135"/>
      <c r="P32" s="266"/>
      <c r="Q32" s="135"/>
      <c r="R32" s="150"/>
      <c r="S32" s="150"/>
      <c r="T32" s="284"/>
      <c r="U32" s="150"/>
    </row>
    <row r="33" spans="1:23" s="17" customFormat="1" ht="12.75" hidden="1" customHeight="1" outlineLevel="1" x14ac:dyDescent="0.25">
      <c r="A33" s="143" t="s">
        <v>47</v>
      </c>
      <c r="B33" s="131" t="s">
        <v>42</v>
      </c>
      <c r="C33" s="59" t="s">
        <v>43</v>
      </c>
      <c r="D33" s="59" t="s">
        <v>59</v>
      </c>
      <c r="E33" s="59" t="s">
        <v>45</v>
      </c>
      <c r="F33" s="166" t="s">
        <v>46</v>
      </c>
      <c r="G33" s="221"/>
      <c r="H33" s="234"/>
      <c r="I33" s="86"/>
      <c r="J33" s="86"/>
      <c r="K33" s="86"/>
      <c r="L33" s="86"/>
      <c r="M33" s="157"/>
      <c r="N33" s="250"/>
      <c r="O33" s="135"/>
      <c r="P33" s="266"/>
      <c r="Q33" s="135"/>
      <c r="R33" s="142"/>
      <c r="S33" s="142"/>
      <c r="T33" s="285"/>
      <c r="U33" s="142"/>
      <c r="V33" s="93"/>
      <c r="W33" s="54"/>
    </row>
    <row r="34" spans="1:23" s="17" customFormat="1" ht="12.75" hidden="1" customHeight="1" outlineLevel="1" x14ac:dyDescent="0.25">
      <c r="A34" s="144">
        <v>1</v>
      </c>
      <c r="B34" s="132" t="s">
        <v>142</v>
      </c>
      <c r="C34" s="65">
        <v>14</v>
      </c>
      <c r="D34" s="65" t="s">
        <v>60</v>
      </c>
      <c r="E34" s="98">
        <f>70*8</f>
        <v>560</v>
      </c>
      <c r="F34" s="171">
        <f>E34*C34*A34</f>
        <v>7840</v>
      </c>
      <c r="G34" s="221"/>
      <c r="H34" s="234"/>
      <c r="I34" s="86"/>
      <c r="J34" s="86"/>
      <c r="K34" s="86"/>
      <c r="L34" s="86"/>
      <c r="M34" s="157"/>
      <c r="N34" s="250"/>
      <c r="O34" s="135"/>
      <c r="P34" s="266"/>
      <c r="Q34" s="135"/>
      <c r="R34" s="142"/>
      <c r="S34" s="142"/>
      <c r="T34" s="285"/>
      <c r="U34" s="142"/>
      <c r="V34" s="93"/>
      <c r="W34" s="54"/>
    </row>
    <row r="35" spans="1:23" ht="12.75" hidden="1" customHeight="1" outlineLevel="1" x14ac:dyDescent="0.25">
      <c r="A35" s="142"/>
      <c r="B35" s="134"/>
      <c r="C35" s="58"/>
      <c r="D35" s="99" t="s">
        <v>61</v>
      </c>
      <c r="E35" s="33"/>
      <c r="F35" s="172">
        <f>SUM(F34:F34)</f>
        <v>7840</v>
      </c>
      <c r="G35" s="221"/>
      <c r="H35" s="234"/>
      <c r="I35" s="86"/>
      <c r="J35" s="86"/>
      <c r="K35" s="86"/>
      <c r="L35" s="86"/>
      <c r="M35" s="489"/>
      <c r="N35" s="250"/>
      <c r="O35" s="135"/>
      <c r="P35" s="266"/>
      <c r="Q35" s="135"/>
      <c r="R35" s="150"/>
      <c r="S35" s="150"/>
      <c r="T35" s="284"/>
      <c r="U35" s="150"/>
    </row>
    <row r="36" spans="1:23" s="17" customFormat="1" ht="12.75" hidden="1" customHeight="1" outlineLevel="1" x14ac:dyDescent="0.25">
      <c r="A36" s="144"/>
      <c r="B36" s="132"/>
      <c r="C36" s="65"/>
      <c r="D36" s="99" t="s">
        <v>46</v>
      </c>
      <c r="E36" s="98"/>
      <c r="F36" s="171">
        <f>SUM(F32,F35)</f>
        <v>28422</v>
      </c>
      <c r="G36" s="151"/>
      <c r="H36" s="221"/>
      <c r="I36" s="35"/>
      <c r="J36" s="86"/>
      <c r="K36" s="86"/>
      <c r="L36" s="86"/>
      <c r="M36" s="247"/>
      <c r="N36" s="251"/>
      <c r="O36" s="135"/>
      <c r="P36" s="250"/>
      <c r="Q36" s="133"/>
      <c r="R36" s="273"/>
      <c r="S36" s="273"/>
      <c r="T36" s="142"/>
      <c r="U36" s="142"/>
      <c r="V36" s="50"/>
      <c r="W36" s="54"/>
    </row>
    <row r="37" spans="1:23" s="17" customFormat="1" ht="12.75" hidden="1" customHeight="1" outlineLevel="1" x14ac:dyDescent="0.25">
      <c r="A37" s="144"/>
      <c r="B37" s="132"/>
      <c r="C37" s="65"/>
      <c r="D37" s="99"/>
      <c r="E37" s="98"/>
      <c r="F37" s="171"/>
      <c r="G37" s="151"/>
      <c r="H37" s="221"/>
      <c r="I37" s="35"/>
      <c r="J37" s="86"/>
      <c r="K37" s="86"/>
      <c r="L37" s="86"/>
      <c r="M37" s="247"/>
      <c r="N37" s="251"/>
      <c r="O37" s="135"/>
      <c r="P37" s="250"/>
      <c r="Q37" s="133"/>
      <c r="R37" s="273"/>
      <c r="S37" s="273"/>
      <c r="T37" s="142"/>
      <c r="U37" s="142"/>
      <c r="V37" s="50"/>
      <c r="W37" s="54"/>
    </row>
    <row r="38" spans="1:23" s="17" customFormat="1" ht="12.75" hidden="1" customHeight="1" outlineLevel="1" x14ac:dyDescent="0.25">
      <c r="A38" s="144"/>
      <c r="B38" s="132" t="s">
        <v>56</v>
      </c>
      <c r="C38" s="65">
        <v>45000</v>
      </c>
      <c r="D38" s="99"/>
      <c r="E38" s="98"/>
      <c r="F38" s="171"/>
      <c r="G38" s="151"/>
      <c r="H38" s="221"/>
      <c r="I38" s="35"/>
      <c r="J38" s="86"/>
      <c r="K38" s="86"/>
      <c r="L38" s="86"/>
      <c r="M38" s="247"/>
      <c r="N38" s="251"/>
      <c r="O38" s="135"/>
      <c r="P38" s="250"/>
      <c r="Q38" s="133"/>
      <c r="R38" s="273"/>
      <c r="S38" s="273"/>
      <c r="T38" s="142"/>
      <c r="U38" s="142"/>
      <c r="V38" s="50"/>
      <c r="W38" s="54"/>
    </row>
    <row r="39" spans="1:23" ht="7.5" hidden="1" customHeight="1" outlineLevel="1" x14ac:dyDescent="0.25">
      <c r="A39" s="142"/>
      <c r="B39" s="128"/>
      <c r="C39" s="33"/>
      <c r="D39" s="33"/>
      <c r="E39" s="33"/>
      <c r="F39" s="165"/>
      <c r="G39" s="221"/>
      <c r="H39" s="234"/>
      <c r="I39" s="86"/>
      <c r="J39" s="86"/>
      <c r="K39" s="86"/>
      <c r="L39" s="86"/>
      <c r="M39" s="489"/>
      <c r="N39" s="250"/>
      <c r="O39" s="135"/>
      <c r="P39" s="266"/>
      <c r="Q39" s="135"/>
      <c r="R39" s="150"/>
      <c r="S39" s="150"/>
      <c r="T39" s="284"/>
      <c r="U39" s="150"/>
    </row>
    <row r="40" spans="1:23" collapsed="1" x14ac:dyDescent="0.25">
      <c r="A40" s="290">
        <v>1.3</v>
      </c>
      <c r="B40" s="291"/>
      <c r="C40" s="292" t="s">
        <v>27</v>
      </c>
      <c r="D40" s="293"/>
      <c r="E40" s="293"/>
      <c r="F40" s="294"/>
      <c r="G40" s="295"/>
      <c r="H40" s="296"/>
      <c r="I40" s="298"/>
      <c r="J40" s="298"/>
      <c r="K40" s="298"/>
      <c r="L40" s="298"/>
      <c r="M40" s="490"/>
      <c r="N40" s="323"/>
      <c r="O40" s="302"/>
      <c r="P40" s="303"/>
      <c r="Q40" s="302"/>
      <c r="R40" s="305"/>
      <c r="S40" s="305"/>
      <c r="T40" s="305"/>
      <c r="U40" s="305"/>
    </row>
    <row r="41" spans="1:23" s="1" customFormat="1" x14ac:dyDescent="0.25">
      <c r="A41" s="324"/>
      <c r="B41" s="325" t="s">
        <v>28</v>
      </c>
      <c r="C41" s="326" t="s">
        <v>32</v>
      </c>
      <c r="D41" s="293"/>
      <c r="E41" s="293"/>
      <c r="F41" s="294"/>
      <c r="G41" s="295">
        <v>1</v>
      </c>
      <c r="H41" s="296" t="s">
        <v>15</v>
      </c>
      <c r="I41" s="297">
        <f>F49</f>
        <v>5000</v>
      </c>
      <c r="J41" s="298"/>
      <c r="K41" s="298"/>
      <c r="L41" s="298"/>
      <c r="M41" s="490">
        <f>G41*F49</f>
        <v>5000</v>
      </c>
      <c r="N41" s="328">
        <f>ROUND(M41*0.12,2)</f>
        <v>600</v>
      </c>
      <c r="O41" s="329">
        <f t="shared" ref="O41:O51" si="3">ROUND(M41*0.08,2)</f>
        <v>400</v>
      </c>
      <c r="P41" s="330">
        <v>0.25</v>
      </c>
      <c r="Q41" s="329">
        <f>P41*M41</f>
        <v>1250</v>
      </c>
      <c r="R41" s="331">
        <f t="shared" ref="R41:R90" si="4">ROUND((M41+Q41)*0.05,2)</f>
        <v>312.5</v>
      </c>
      <c r="S41" s="332">
        <f>R41+Q41</f>
        <v>1562.5</v>
      </c>
      <c r="T41" s="332">
        <f t="shared" ref="T41:T51" si="5">M41+S41</f>
        <v>6562.5</v>
      </c>
      <c r="U41" s="332">
        <f>T41/G41</f>
        <v>6562.5</v>
      </c>
      <c r="V41" s="47"/>
      <c r="W41" s="3"/>
    </row>
    <row r="42" spans="1:23" ht="7.5" hidden="1" customHeight="1" outlineLevel="1" x14ac:dyDescent="0.25">
      <c r="A42" s="142"/>
      <c r="B42" s="128"/>
      <c r="C42" s="33"/>
      <c r="D42" s="33"/>
      <c r="E42" s="33"/>
      <c r="F42" s="165"/>
      <c r="G42" s="221"/>
      <c r="H42" s="234"/>
      <c r="I42" s="86"/>
      <c r="J42" s="86"/>
      <c r="K42" s="86"/>
      <c r="L42" s="86"/>
      <c r="M42" s="489"/>
      <c r="N42" s="250"/>
      <c r="O42" s="249"/>
      <c r="P42" s="266"/>
      <c r="Q42" s="135"/>
      <c r="R42" s="272"/>
      <c r="S42" s="150"/>
      <c r="T42" s="284"/>
      <c r="U42" s="150"/>
    </row>
    <row r="43" spans="1:23" ht="12.75" hidden="1" customHeight="1" outlineLevel="1" x14ac:dyDescent="0.25">
      <c r="A43" s="142"/>
      <c r="B43" s="131" t="s">
        <v>41</v>
      </c>
      <c r="C43" s="59" t="s">
        <v>43</v>
      </c>
      <c r="D43" s="59" t="s">
        <v>44</v>
      </c>
      <c r="E43" s="59" t="s">
        <v>45</v>
      </c>
      <c r="F43" s="166" t="s">
        <v>46</v>
      </c>
      <c r="G43" s="221"/>
      <c r="H43" s="234"/>
      <c r="I43" s="86"/>
      <c r="J43" s="86"/>
      <c r="K43" s="86"/>
      <c r="L43" s="86"/>
      <c r="M43" s="489"/>
      <c r="N43" s="250"/>
      <c r="O43" s="249"/>
      <c r="P43" s="266"/>
      <c r="Q43" s="135"/>
      <c r="R43" s="272"/>
      <c r="S43" s="150"/>
      <c r="T43" s="150"/>
      <c r="U43" s="439"/>
    </row>
    <row r="44" spans="1:23" ht="12" hidden="1" customHeight="1" outlineLevel="1" x14ac:dyDescent="0.25">
      <c r="A44" s="142"/>
      <c r="B44" s="132" t="s">
        <v>145</v>
      </c>
      <c r="C44" s="65"/>
      <c r="D44" s="65" t="s">
        <v>15</v>
      </c>
      <c r="E44" s="65">
        <v>15000</v>
      </c>
      <c r="F44" s="168">
        <f t="shared" ref="F44:F48" si="6">E44*C44</f>
        <v>0</v>
      </c>
      <c r="G44" s="221"/>
      <c r="H44" s="234"/>
      <c r="I44" s="86"/>
      <c r="J44" s="86"/>
      <c r="K44" s="86"/>
      <c r="L44" s="86"/>
      <c r="M44" s="489"/>
      <c r="N44" s="250"/>
      <c r="O44" s="249"/>
      <c r="P44" s="266"/>
      <c r="Q44" s="135"/>
      <c r="R44" s="272"/>
      <c r="S44" s="150"/>
      <c r="T44" s="150"/>
      <c r="U44" s="439"/>
    </row>
    <row r="45" spans="1:23" ht="12.75" hidden="1" customHeight="1" outlineLevel="1" x14ac:dyDescent="0.25">
      <c r="A45" s="142"/>
      <c r="B45" s="132" t="s">
        <v>143</v>
      </c>
      <c r="C45" s="65"/>
      <c r="D45" s="65" t="s">
        <v>15</v>
      </c>
      <c r="E45" s="65">
        <v>20000</v>
      </c>
      <c r="F45" s="168">
        <f t="shared" si="6"/>
        <v>0</v>
      </c>
      <c r="G45" s="221"/>
      <c r="H45" s="234"/>
      <c r="I45" s="86"/>
      <c r="J45" s="86"/>
      <c r="K45" s="86"/>
      <c r="L45" s="86"/>
      <c r="M45" s="489"/>
      <c r="N45" s="250"/>
      <c r="O45" s="249"/>
      <c r="P45" s="266"/>
      <c r="Q45" s="135"/>
      <c r="R45" s="272"/>
      <c r="S45" s="150"/>
      <c r="T45" s="150"/>
      <c r="U45" s="439"/>
    </row>
    <row r="46" spans="1:23" ht="12.75" hidden="1" customHeight="1" outlineLevel="1" x14ac:dyDescent="0.25">
      <c r="A46" s="142"/>
      <c r="B46" s="167" t="s">
        <v>69</v>
      </c>
      <c r="C46" s="62">
        <v>1</v>
      </c>
      <c r="D46" s="62" t="s">
        <v>144</v>
      </c>
      <c r="E46" s="97">
        <v>3000</v>
      </c>
      <c r="F46" s="168">
        <f t="shared" si="6"/>
        <v>3000</v>
      </c>
      <c r="G46" s="221"/>
      <c r="H46" s="234"/>
      <c r="I46" s="86"/>
      <c r="J46" s="86"/>
      <c r="K46" s="86"/>
      <c r="L46" s="86"/>
      <c r="M46" s="489"/>
      <c r="N46" s="250"/>
      <c r="O46" s="249"/>
      <c r="P46" s="266"/>
      <c r="Q46" s="135"/>
      <c r="R46" s="272"/>
      <c r="S46" s="150"/>
      <c r="T46" s="150"/>
      <c r="U46" s="439"/>
    </row>
    <row r="47" spans="1:23" ht="12.75" hidden="1" customHeight="1" outlineLevel="1" x14ac:dyDescent="0.25">
      <c r="A47" s="142"/>
      <c r="B47" s="167" t="s">
        <v>70</v>
      </c>
      <c r="C47" s="62">
        <v>1</v>
      </c>
      <c r="D47" s="62" t="s">
        <v>144</v>
      </c>
      <c r="E47" s="97">
        <v>1500</v>
      </c>
      <c r="F47" s="168">
        <f t="shared" si="6"/>
        <v>1500</v>
      </c>
      <c r="G47" s="221"/>
      <c r="H47" s="234"/>
      <c r="I47" s="86"/>
      <c r="J47" s="86"/>
      <c r="K47" s="86"/>
      <c r="L47" s="86"/>
      <c r="M47" s="489"/>
      <c r="N47" s="250"/>
      <c r="O47" s="249"/>
      <c r="P47" s="266"/>
      <c r="Q47" s="135"/>
      <c r="R47" s="272"/>
      <c r="S47" s="150"/>
      <c r="T47" s="150"/>
      <c r="U47" s="439"/>
    </row>
    <row r="48" spans="1:23" ht="12.75" hidden="1" customHeight="1" outlineLevel="1" x14ac:dyDescent="0.25">
      <c r="A48" s="142"/>
      <c r="B48" s="167" t="s">
        <v>57</v>
      </c>
      <c r="C48" s="62">
        <v>1</v>
      </c>
      <c r="D48" s="62" t="s">
        <v>15</v>
      </c>
      <c r="E48" s="97">
        <v>500</v>
      </c>
      <c r="F48" s="169">
        <f t="shared" si="6"/>
        <v>500</v>
      </c>
      <c r="G48" s="221"/>
      <c r="H48" s="234"/>
      <c r="I48" s="86"/>
      <c r="J48" s="86"/>
      <c r="K48" s="86"/>
      <c r="L48" s="86"/>
      <c r="M48" s="489"/>
      <c r="N48" s="250"/>
      <c r="O48" s="249"/>
      <c r="P48" s="266"/>
      <c r="Q48" s="135"/>
      <c r="R48" s="272"/>
      <c r="S48" s="150"/>
      <c r="T48" s="150"/>
      <c r="U48" s="439"/>
    </row>
    <row r="49" spans="1:27" ht="12.75" hidden="1" customHeight="1" outlineLevel="1" x14ac:dyDescent="0.25">
      <c r="A49" s="142"/>
      <c r="B49" s="134"/>
      <c r="C49" s="65"/>
      <c r="D49" s="99" t="s">
        <v>58</v>
      </c>
      <c r="E49" s="33"/>
      <c r="F49" s="170">
        <f>SUM(F44:F48)</f>
        <v>5000</v>
      </c>
      <c r="G49" s="221"/>
      <c r="H49" s="234"/>
      <c r="I49" s="86"/>
      <c r="J49" s="86"/>
      <c r="K49" s="86"/>
      <c r="L49" s="86"/>
      <c r="M49" s="489"/>
      <c r="N49" s="250"/>
      <c r="O49" s="249"/>
      <c r="P49" s="266"/>
      <c r="Q49" s="135"/>
      <c r="R49" s="272"/>
      <c r="S49" s="150"/>
      <c r="T49" s="150"/>
      <c r="U49" s="439"/>
    </row>
    <row r="50" spans="1:27" ht="7.5" hidden="1" customHeight="1" outlineLevel="1" x14ac:dyDescent="0.25">
      <c r="A50" s="142"/>
      <c r="B50" s="128"/>
      <c r="C50" s="33"/>
      <c r="D50" s="33"/>
      <c r="E50" s="33"/>
      <c r="F50" s="165"/>
      <c r="G50" s="221"/>
      <c r="H50" s="234"/>
      <c r="I50" s="86"/>
      <c r="J50" s="86"/>
      <c r="K50" s="86"/>
      <c r="L50" s="86"/>
      <c r="M50" s="489"/>
      <c r="N50" s="250"/>
      <c r="O50" s="249"/>
      <c r="P50" s="266"/>
      <c r="Q50" s="135"/>
      <c r="R50" s="272">
        <f t="shared" si="4"/>
        <v>0</v>
      </c>
      <c r="S50" s="150"/>
      <c r="T50" s="284"/>
      <c r="U50" s="150"/>
    </row>
    <row r="51" spans="1:27" s="1" customFormat="1" collapsed="1" x14ac:dyDescent="0.25">
      <c r="A51" s="324"/>
      <c r="B51" s="325" t="s">
        <v>29</v>
      </c>
      <c r="C51" s="326" t="s">
        <v>31</v>
      </c>
      <c r="D51" s="293"/>
      <c r="E51" s="293"/>
      <c r="F51" s="294"/>
      <c r="G51" s="295">
        <v>1</v>
      </c>
      <c r="H51" s="296" t="s">
        <v>15</v>
      </c>
      <c r="I51" s="297">
        <f>F64</f>
        <v>5800</v>
      </c>
      <c r="J51" s="297">
        <f>F57</f>
        <v>1424</v>
      </c>
      <c r="K51" s="297">
        <f>F67</f>
        <v>580</v>
      </c>
      <c r="L51" s="299">
        <f>SUM(I51:K51)/G51</f>
        <v>7804</v>
      </c>
      <c r="M51" s="490">
        <f>ROUNDUP(G51*L51,-1)</f>
        <v>7810</v>
      </c>
      <c r="N51" s="328">
        <f t="shared" ref="N51" si="7">ROUND(M51*0.12,2)</f>
        <v>937.2</v>
      </c>
      <c r="O51" s="329">
        <f t="shared" si="3"/>
        <v>624.79999999999995</v>
      </c>
      <c r="P51" s="330">
        <v>0.25</v>
      </c>
      <c r="Q51" s="329">
        <f t="shared" ref="Q51" si="8">P51*M51</f>
        <v>1952.5</v>
      </c>
      <c r="R51" s="331">
        <f t="shared" si="4"/>
        <v>488.13</v>
      </c>
      <c r="S51" s="332">
        <f t="shared" ref="S51" si="9">R51+Q51</f>
        <v>2440.63</v>
      </c>
      <c r="T51" s="332">
        <f t="shared" si="5"/>
        <v>10250.630000000001</v>
      </c>
      <c r="U51" s="332">
        <f>T51/G51</f>
        <v>10250.630000000001</v>
      </c>
      <c r="V51" s="47"/>
      <c r="W51" s="3"/>
    </row>
    <row r="52" spans="1:27" ht="7.5" hidden="1" customHeight="1" outlineLevel="1" x14ac:dyDescent="0.25">
      <c r="A52" s="142"/>
      <c r="B52" s="128"/>
      <c r="C52" s="33"/>
      <c r="D52" s="33"/>
      <c r="E52" s="33"/>
      <c r="F52" s="165"/>
      <c r="G52" s="221"/>
      <c r="H52" s="234"/>
      <c r="I52" s="86"/>
      <c r="J52" s="86"/>
      <c r="K52" s="86"/>
      <c r="L52" s="86"/>
      <c r="M52" s="489"/>
      <c r="N52" s="232"/>
      <c r="O52" s="249"/>
      <c r="P52" s="266"/>
      <c r="Q52" s="135"/>
      <c r="R52" s="272"/>
      <c r="S52" s="150"/>
      <c r="T52" s="284"/>
      <c r="U52" s="150"/>
    </row>
    <row r="53" spans="1:27" s="17" customFormat="1" ht="12.75" hidden="1" customHeight="1" outlineLevel="1" x14ac:dyDescent="0.25">
      <c r="A53" s="143" t="s">
        <v>47</v>
      </c>
      <c r="B53" s="131" t="s">
        <v>42</v>
      </c>
      <c r="C53" s="59" t="s">
        <v>43</v>
      </c>
      <c r="D53" s="59" t="s">
        <v>44</v>
      </c>
      <c r="E53" s="59" t="s">
        <v>45</v>
      </c>
      <c r="F53" s="166" t="s">
        <v>46</v>
      </c>
      <c r="G53" s="151"/>
      <c r="H53" s="151"/>
      <c r="M53" s="491"/>
      <c r="N53" s="232"/>
      <c r="O53" s="249"/>
      <c r="P53" s="251"/>
      <c r="Q53" s="254"/>
      <c r="R53" s="272"/>
      <c r="S53" s="273"/>
      <c r="T53" s="273"/>
      <c r="U53" s="281"/>
      <c r="V53" s="50"/>
      <c r="W53" s="89"/>
      <c r="Z53" s="87"/>
      <c r="AA53" s="94"/>
    </row>
    <row r="54" spans="1:27" s="17" customFormat="1" ht="12.75" hidden="1" customHeight="1" outlineLevel="1" x14ac:dyDescent="0.25">
      <c r="A54" s="144">
        <v>1</v>
      </c>
      <c r="B54" s="132" t="s">
        <v>89</v>
      </c>
      <c r="C54" s="65">
        <v>1</v>
      </c>
      <c r="D54" s="65" t="s">
        <v>60</v>
      </c>
      <c r="E54" s="98">
        <f>115*8</f>
        <v>920</v>
      </c>
      <c r="F54" s="171">
        <f>E54*C54*A54</f>
        <v>920</v>
      </c>
      <c r="G54" s="151"/>
      <c r="H54" s="151"/>
      <c r="M54" s="491"/>
      <c r="N54" s="232"/>
      <c r="O54" s="249"/>
      <c r="P54" s="251"/>
      <c r="Q54" s="254"/>
      <c r="R54" s="272"/>
      <c r="S54" s="273"/>
      <c r="T54" s="273"/>
      <c r="U54" s="281"/>
      <c r="V54" s="50"/>
      <c r="W54" s="89"/>
      <c r="Z54" s="87"/>
      <c r="AA54" s="94"/>
    </row>
    <row r="55" spans="1:27" s="17" customFormat="1" ht="12.75" hidden="1" customHeight="1" outlineLevel="1" x14ac:dyDescent="0.25">
      <c r="A55" s="144">
        <v>1</v>
      </c>
      <c r="B55" s="132" t="s">
        <v>59</v>
      </c>
      <c r="C55" s="65">
        <v>1</v>
      </c>
      <c r="D55" s="65" t="s">
        <v>60</v>
      </c>
      <c r="E55" s="98">
        <f>97*8</f>
        <v>776</v>
      </c>
      <c r="F55" s="171">
        <f>E55*C55*A55</f>
        <v>776</v>
      </c>
      <c r="G55" s="151"/>
      <c r="H55" s="151"/>
      <c r="M55" s="491"/>
      <c r="N55" s="232"/>
      <c r="O55" s="249"/>
      <c r="P55" s="251"/>
      <c r="Q55" s="254"/>
      <c r="R55" s="272"/>
      <c r="S55" s="273"/>
      <c r="T55" s="273"/>
      <c r="U55" s="281"/>
      <c r="V55" s="50"/>
      <c r="W55" s="89"/>
      <c r="Z55" s="87"/>
      <c r="AA55" s="94"/>
    </row>
    <row r="56" spans="1:27" s="17" customFormat="1" ht="12.75" hidden="1" customHeight="1" outlineLevel="1" x14ac:dyDescent="0.25">
      <c r="A56" s="144">
        <v>1</v>
      </c>
      <c r="B56" s="132" t="s">
        <v>71</v>
      </c>
      <c r="C56" s="65">
        <v>1</v>
      </c>
      <c r="D56" s="65" t="s">
        <v>60</v>
      </c>
      <c r="E56" s="98">
        <f>81*8</f>
        <v>648</v>
      </c>
      <c r="F56" s="172">
        <f>E56*C56*A56</f>
        <v>648</v>
      </c>
      <c r="G56" s="151"/>
      <c r="H56" s="151"/>
      <c r="M56" s="491"/>
      <c r="N56" s="232"/>
      <c r="O56" s="249"/>
      <c r="P56" s="251"/>
      <c r="Q56" s="254"/>
      <c r="R56" s="272"/>
      <c r="S56" s="273"/>
      <c r="T56" s="273"/>
      <c r="U56" s="281"/>
      <c r="V56" s="50"/>
      <c r="W56" s="89"/>
      <c r="Z56" s="87"/>
      <c r="AA56" s="94"/>
    </row>
    <row r="57" spans="1:27" ht="12.75" hidden="1" customHeight="1" outlineLevel="1" x14ac:dyDescent="0.25">
      <c r="A57" s="145"/>
      <c r="B57" s="134"/>
      <c r="C57" s="58"/>
      <c r="D57" s="99" t="s">
        <v>61</v>
      </c>
      <c r="E57" s="33"/>
      <c r="F57" s="171">
        <f>SUM(F55:F56)</f>
        <v>1424</v>
      </c>
      <c r="G57" s="154"/>
      <c r="H57" s="156"/>
      <c r="M57" s="491"/>
      <c r="N57" s="232"/>
      <c r="O57" s="249"/>
      <c r="P57" s="251"/>
      <c r="Q57" s="254"/>
      <c r="R57" s="272"/>
      <c r="S57" s="273"/>
      <c r="T57" s="273"/>
      <c r="U57" s="281"/>
      <c r="V57" s="50"/>
      <c r="W57" s="89"/>
      <c r="Z57" s="87"/>
      <c r="AA57" s="90"/>
    </row>
    <row r="58" spans="1:27" s="17" customFormat="1" ht="12.75" hidden="1" customHeight="1" outlineLevel="1" x14ac:dyDescent="0.25">
      <c r="A58" s="143"/>
      <c r="B58" s="131" t="s">
        <v>41</v>
      </c>
      <c r="C58" s="59" t="s">
        <v>43</v>
      </c>
      <c r="D58" s="59" t="s">
        <v>44</v>
      </c>
      <c r="E58" s="59" t="s">
        <v>45</v>
      </c>
      <c r="F58" s="166" t="s">
        <v>46</v>
      </c>
      <c r="G58" s="151"/>
      <c r="H58" s="151"/>
      <c r="M58" s="491"/>
      <c r="N58" s="232"/>
      <c r="O58" s="249"/>
      <c r="P58" s="251"/>
      <c r="Q58" s="254"/>
      <c r="R58" s="272"/>
      <c r="S58" s="273"/>
      <c r="T58" s="273"/>
      <c r="U58" s="281"/>
      <c r="V58" s="50"/>
      <c r="W58" s="89"/>
      <c r="Z58" s="87"/>
      <c r="AA58" s="94"/>
    </row>
    <row r="59" spans="1:27" s="17" customFormat="1" ht="12.75" hidden="1" customHeight="1" outlineLevel="1" x14ac:dyDescent="0.25">
      <c r="A59" s="144"/>
      <c r="B59" s="132" t="s">
        <v>146</v>
      </c>
      <c r="C59" s="65">
        <v>2</v>
      </c>
      <c r="D59" s="65" t="s">
        <v>16</v>
      </c>
      <c r="E59" s="98">
        <v>1500</v>
      </c>
      <c r="F59" s="171">
        <f>E59*C59</f>
        <v>3000</v>
      </c>
      <c r="G59" s="151"/>
      <c r="H59" s="151"/>
      <c r="M59" s="491"/>
      <c r="N59" s="232"/>
      <c r="O59" s="249"/>
      <c r="P59" s="251"/>
      <c r="Q59" s="254"/>
      <c r="R59" s="272"/>
      <c r="S59" s="273"/>
      <c r="T59" s="273"/>
      <c r="U59" s="281"/>
      <c r="V59" s="50"/>
      <c r="W59" s="89"/>
      <c r="Z59" s="87"/>
      <c r="AA59" s="94"/>
    </row>
    <row r="60" spans="1:27" s="17" customFormat="1" ht="12.75" hidden="1" customHeight="1" outlineLevel="1" x14ac:dyDescent="0.25">
      <c r="A60" s="144"/>
      <c r="B60" s="132" t="s">
        <v>72</v>
      </c>
      <c r="C60" s="65">
        <v>2</v>
      </c>
      <c r="D60" s="65" t="s">
        <v>65</v>
      </c>
      <c r="E60" s="98">
        <v>780</v>
      </c>
      <c r="F60" s="171">
        <f>E60*C60</f>
        <v>1560</v>
      </c>
      <c r="G60" s="151"/>
      <c r="H60" s="151"/>
      <c r="M60" s="491"/>
      <c r="N60" s="232"/>
      <c r="O60" s="249"/>
      <c r="P60" s="251"/>
      <c r="Q60" s="254"/>
      <c r="R60" s="272"/>
      <c r="S60" s="273"/>
      <c r="T60" s="273"/>
      <c r="U60" s="281"/>
      <c r="V60" s="50"/>
      <c r="W60" s="89"/>
      <c r="Z60" s="87"/>
      <c r="AA60" s="94"/>
    </row>
    <row r="61" spans="1:27" s="17" customFormat="1" ht="12.75" hidden="1" customHeight="1" outlineLevel="1" x14ac:dyDescent="0.25">
      <c r="A61" s="144"/>
      <c r="B61" s="132" t="s">
        <v>147</v>
      </c>
      <c r="C61" s="65">
        <v>4</v>
      </c>
      <c r="D61" s="65" t="s">
        <v>65</v>
      </c>
      <c r="E61" s="98">
        <v>35</v>
      </c>
      <c r="F61" s="171">
        <f>E61*C61</f>
        <v>140</v>
      </c>
      <c r="G61" s="151"/>
      <c r="H61" s="151"/>
      <c r="M61" s="491"/>
      <c r="N61" s="232"/>
      <c r="O61" s="249"/>
      <c r="P61" s="251"/>
      <c r="Q61" s="254"/>
      <c r="R61" s="272"/>
      <c r="S61" s="273"/>
      <c r="T61" s="273"/>
      <c r="U61" s="281"/>
      <c r="V61" s="50"/>
      <c r="W61" s="89"/>
      <c r="Z61" s="87"/>
      <c r="AA61" s="94"/>
    </row>
    <row r="62" spans="1:27" s="17" customFormat="1" ht="12.75" hidden="1" customHeight="1" outlineLevel="1" x14ac:dyDescent="0.25">
      <c r="A62" s="144"/>
      <c r="B62" s="132" t="s">
        <v>149</v>
      </c>
      <c r="C62" s="65">
        <v>4</v>
      </c>
      <c r="D62" s="65" t="s">
        <v>65</v>
      </c>
      <c r="E62" s="98">
        <v>150</v>
      </c>
      <c r="F62" s="171">
        <f>E62*C62</f>
        <v>600</v>
      </c>
      <c r="G62" s="151"/>
      <c r="H62" s="151"/>
      <c r="M62" s="491"/>
      <c r="N62" s="232"/>
      <c r="O62" s="249"/>
      <c r="P62" s="251"/>
      <c r="Q62" s="254"/>
      <c r="R62" s="272"/>
      <c r="S62" s="273"/>
      <c r="T62" s="273"/>
      <c r="U62" s="281"/>
      <c r="V62" s="50"/>
      <c r="W62" s="89"/>
      <c r="Z62" s="87"/>
      <c r="AA62" s="94"/>
    </row>
    <row r="63" spans="1:27" s="17" customFormat="1" ht="12.75" hidden="1" customHeight="1" outlineLevel="1" x14ac:dyDescent="0.25">
      <c r="A63" s="144"/>
      <c r="B63" s="132" t="s">
        <v>148</v>
      </c>
      <c r="C63" s="65">
        <v>1</v>
      </c>
      <c r="D63" s="65" t="s">
        <v>15</v>
      </c>
      <c r="E63" s="98">
        <v>500</v>
      </c>
      <c r="F63" s="172">
        <f>E63*C63</f>
        <v>500</v>
      </c>
      <c r="G63" s="151"/>
      <c r="H63" s="151"/>
      <c r="M63" s="491"/>
      <c r="N63" s="232"/>
      <c r="O63" s="249"/>
      <c r="P63" s="251"/>
      <c r="Q63" s="254"/>
      <c r="R63" s="272"/>
      <c r="S63" s="273"/>
      <c r="T63" s="273"/>
      <c r="U63" s="281"/>
      <c r="V63" s="50"/>
      <c r="W63" s="89"/>
      <c r="Z63" s="87"/>
      <c r="AA63" s="94"/>
    </row>
    <row r="64" spans="1:27" ht="12.75" hidden="1" customHeight="1" outlineLevel="1" x14ac:dyDescent="0.25">
      <c r="A64" s="145"/>
      <c r="B64" s="134"/>
      <c r="C64" s="58"/>
      <c r="D64" s="99" t="s">
        <v>58</v>
      </c>
      <c r="E64" s="33"/>
      <c r="F64" s="171">
        <f>SUM(F59:F63)</f>
        <v>5800</v>
      </c>
      <c r="G64" s="154"/>
      <c r="H64" s="156"/>
      <c r="M64" s="491"/>
      <c r="N64" s="232"/>
      <c r="O64" s="249"/>
      <c r="P64" s="251"/>
      <c r="Q64" s="254"/>
      <c r="R64" s="272"/>
      <c r="S64" s="273"/>
      <c r="T64" s="273"/>
      <c r="U64" s="281"/>
      <c r="V64" s="50"/>
      <c r="W64" s="89"/>
      <c r="Z64" s="87"/>
      <c r="AA64" s="90"/>
    </row>
    <row r="65" spans="1:27" ht="12.75" hidden="1" customHeight="1" outlineLevel="1" x14ac:dyDescent="0.25">
      <c r="A65" s="145"/>
      <c r="B65" s="131" t="s">
        <v>87</v>
      </c>
      <c r="C65" s="59" t="s">
        <v>43</v>
      </c>
      <c r="D65" s="59" t="s">
        <v>44</v>
      </c>
      <c r="E65" s="59" t="s">
        <v>45</v>
      </c>
      <c r="F65" s="166" t="s">
        <v>46</v>
      </c>
      <c r="G65" s="156"/>
      <c r="H65" s="156"/>
      <c r="J65" s="61"/>
      <c r="K65" s="34"/>
      <c r="L65" s="34"/>
      <c r="M65" s="247"/>
      <c r="N65" s="232"/>
      <c r="O65" s="249"/>
      <c r="P65" s="251"/>
      <c r="Q65" s="129"/>
      <c r="R65" s="272"/>
      <c r="S65" s="273"/>
      <c r="T65" s="281"/>
      <c r="U65" s="273"/>
      <c r="V65" s="50"/>
      <c r="Y65" s="87"/>
      <c r="Z65" s="90"/>
    </row>
    <row r="66" spans="1:27" ht="12.75" hidden="1" customHeight="1" outlineLevel="1" x14ac:dyDescent="0.25">
      <c r="A66" s="145"/>
      <c r="B66" s="167" t="s">
        <v>90</v>
      </c>
      <c r="C66" s="62">
        <v>1</v>
      </c>
      <c r="D66" s="62" t="s">
        <v>15</v>
      </c>
      <c r="E66" s="97">
        <f>F64*0.1</f>
        <v>580</v>
      </c>
      <c r="F66" s="168">
        <f t="shared" ref="F66" si="10">E66*C66</f>
        <v>580</v>
      </c>
      <c r="G66" s="223" t="s">
        <v>91</v>
      </c>
      <c r="H66" s="156"/>
      <c r="J66" s="61"/>
      <c r="K66" s="34"/>
      <c r="L66" s="34"/>
      <c r="M66" s="247"/>
      <c r="N66" s="232"/>
      <c r="O66" s="249"/>
      <c r="P66" s="251"/>
      <c r="Q66" s="129"/>
      <c r="R66" s="272"/>
      <c r="S66" s="273"/>
      <c r="T66" s="281"/>
      <c r="U66" s="273"/>
      <c r="V66" s="50"/>
      <c r="Y66" s="87"/>
      <c r="Z66" s="90"/>
    </row>
    <row r="67" spans="1:27" ht="12.75" hidden="1" customHeight="1" outlineLevel="1" x14ac:dyDescent="0.25">
      <c r="A67" s="145"/>
      <c r="B67" s="134"/>
      <c r="C67" s="58"/>
      <c r="D67" s="99" t="s">
        <v>88</v>
      </c>
      <c r="E67" s="33"/>
      <c r="F67" s="172">
        <f>F66</f>
        <v>580</v>
      </c>
      <c r="G67" s="156"/>
      <c r="H67" s="156"/>
      <c r="J67" s="61"/>
      <c r="K67" s="34"/>
      <c r="L67" s="34"/>
      <c r="M67" s="247"/>
      <c r="N67" s="232"/>
      <c r="O67" s="249"/>
      <c r="P67" s="251"/>
      <c r="Q67" s="129"/>
      <c r="R67" s="272"/>
      <c r="S67" s="273"/>
      <c r="T67" s="281"/>
      <c r="U67" s="273"/>
      <c r="V67" s="50"/>
      <c r="Y67" s="87"/>
      <c r="Z67" s="90"/>
    </row>
    <row r="68" spans="1:27" ht="12.75" hidden="1" customHeight="1" outlineLevel="1" x14ac:dyDescent="0.25">
      <c r="A68" s="145"/>
      <c r="B68" s="134"/>
      <c r="C68" s="58"/>
      <c r="D68" s="99" t="s">
        <v>68</v>
      </c>
      <c r="E68" s="33"/>
      <c r="F68" s="171">
        <f>F64+F57+F67</f>
        <v>7804</v>
      </c>
      <c r="G68" s="154"/>
      <c r="H68" s="156"/>
      <c r="M68" s="491"/>
      <c r="N68" s="232"/>
      <c r="O68" s="249"/>
      <c r="P68" s="251"/>
      <c r="Q68" s="254"/>
      <c r="R68" s="272"/>
      <c r="S68" s="273"/>
      <c r="T68" s="273"/>
      <c r="U68" s="281"/>
      <c r="V68" s="50"/>
      <c r="W68" s="89"/>
      <c r="Z68" s="87"/>
      <c r="AA68" s="90"/>
    </row>
    <row r="69" spans="1:27" ht="7.5" hidden="1" customHeight="1" outlineLevel="1" x14ac:dyDescent="0.25">
      <c r="A69" s="142"/>
      <c r="B69" s="128"/>
      <c r="C69" s="33"/>
      <c r="D69" s="33"/>
      <c r="E69" s="33"/>
      <c r="F69" s="165"/>
      <c r="G69" s="221"/>
      <c r="H69" s="234"/>
      <c r="I69" s="86"/>
      <c r="J69" s="86"/>
      <c r="K69" s="86"/>
      <c r="L69" s="86"/>
      <c r="M69" s="489"/>
      <c r="N69" s="232"/>
      <c r="O69" s="249"/>
      <c r="P69" s="266"/>
      <c r="Q69" s="135"/>
      <c r="R69" s="272"/>
      <c r="S69" s="150"/>
      <c r="T69" s="284"/>
      <c r="U69" s="150"/>
    </row>
    <row r="70" spans="1:27" ht="7.5" hidden="1" customHeight="1" outlineLevel="1" x14ac:dyDescent="0.25">
      <c r="A70" s="142"/>
      <c r="B70" s="128"/>
      <c r="C70" s="33"/>
      <c r="D70" s="33"/>
      <c r="E70" s="33"/>
      <c r="F70" s="165"/>
      <c r="G70" s="221"/>
      <c r="H70" s="234"/>
      <c r="I70" s="86"/>
      <c r="J70" s="86"/>
      <c r="K70" s="86"/>
      <c r="L70" s="86"/>
      <c r="M70" s="489"/>
      <c r="N70" s="250"/>
      <c r="O70" s="135"/>
      <c r="P70" s="266"/>
      <c r="Q70" s="249"/>
      <c r="R70" s="272"/>
      <c r="S70" s="229"/>
      <c r="T70" s="229"/>
      <c r="U70" s="150"/>
    </row>
    <row r="71" spans="1:27" ht="12.75" hidden="1" customHeight="1" outlineLevel="1" x14ac:dyDescent="0.25">
      <c r="A71" s="142"/>
      <c r="B71" s="131" t="s">
        <v>41</v>
      </c>
      <c r="C71" s="59" t="s">
        <v>43</v>
      </c>
      <c r="D71" s="59" t="s">
        <v>44</v>
      </c>
      <c r="E71" s="59" t="s">
        <v>45</v>
      </c>
      <c r="F71" s="166" t="s">
        <v>46</v>
      </c>
      <c r="G71" s="156"/>
      <c r="H71" s="156"/>
      <c r="K71" s="61"/>
      <c r="L71" s="61"/>
      <c r="M71" s="491"/>
      <c r="N71" s="251"/>
      <c r="O71" s="254"/>
      <c r="P71" s="251"/>
      <c r="Q71" s="249"/>
      <c r="R71" s="272"/>
      <c r="S71" s="229"/>
      <c r="T71" s="229"/>
      <c r="U71" s="281"/>
      <c r="V71" s="50"/>
      <c r="W71" s="89"/>
      <c r="Z71" s="87"/>
      <c r="AA71" s="29"/>
    </row>
    <row r="72" spans="1:27" ht="12.75" hidden="1" customHeight="1" outlineLevel="1" x14ac:dyDescent="0.25">
      <c r="A72" s="142"/>
      <c r="B72" s="167" t="s">
        <v>73</v>
      </c>
      <c r="C72" s="62">
        <v>3</v>
      </c>
      <c r="D72" s="62" t="s">
        <v>65</v>
      </c>
      <c r="E72" s="97">
        <v>125</v>
      </c>
      <c r="F72" s="168">
        <f t="shared" ref="F72:F74" si="11">E72*C72</f>
        <v>375</v>
      </c>
      <c r="G72" s="156"/>
      <c r="H72" s="156"/>
      <c r="K72" s="64"/>
      <c r="L72" s="64"/>
      <c r="M72" s="491"/>
      <c r="N72" s="251"/>
      <c r="O72" s="254"/>
      <c r="P72" s="251"/>
      <c r="Q72" s="249"/>
      <c r="R72" s="272"/>
      <c r="S72" s="229"/>
      <c r="T72" s="229"/>
      <c r="U72" s="281"/>
      <c r="V72" s="50"/>
      <c r="W72" s="89"/>
      <c r="Z72" s="87"/>
      <c r="AA72" s="29"/>
    </row>
    <row r="73" spans="1:27" ht="12.75" hidden="1" customHeight="1" outlineLevel="1" x14ac:dyDescent="0.25">
      <c r="A73" s="142"/>
      <c r="B73" s="167" t="s">
        <v>75</v>
      </c>
      <c r="C73" s="62">
        <v>3</v>
      </c>
      <c r="D73" s="62" t="s">
        <v>65</v>
      </c>
      <c r="E73" s="97">
        <v>250</v>
      </c>
      <c r="F73" s="168">
        <f t="shared" si="11"/>
        <v>750</v>
      </c>
      <c r="G73" s="156"/>
      <c r="H73" s="156"/>
      <c r="K73" s="64"/>
      <c r="L73" s="64"/>
      <c r="M73" s="491"/>
      <c r="N73" s="251"/>
      <c r="O73" s="254"/>
      <c r="P73" s="251"/>
      <c r="Q73" s="249"/>
      <c r="R73" s="272"/>
      <c r="S73" s="229"/>
      <c r="T73" s="229"/>
      <c r="U73" s="281"/>
      <c r="V73" s="50"/>
      <c r="W73" s="89"/>
      <c r="Z73" s="87"/>
      <c r="AA73" s="29"/>
    </row>
    <row r="74" spans="1:27" ht="12.75" hidden="1" customHeight="1" outlineLevel="1" x14ac:dyDescent="0.25">
      <c r="A74" s="142"/>
      <c r="B74" s="167" t="s">
        <v>74</v>
      </c>
      <c r="C74" s="62">
        <v>1</v>
      </c>
      <c r="D74" s="62" t="s">
        <v>15</v>
      </c>
      <c r="E74" s="97">
        <v>1600</v>
      </c>
      <c r="F74" s="169">
        <f t="shared" si="11"/>
        <v>1600</v>
      </c>
      <c r="G74" s="156"/>
      <c r="H74" s="156"/>
      <c r="K74" s="64"/>
      <c r="L74" s="64"/>
      <c r="M74" s="491"/>
      <c r="N74" s="251"/>
      <c r="O74" s="254"/>
      <c r="P74" s="251"/>
      <c r="Q74" s="249"/>
      <c r="R74" s="272"/>
      <c r="S74" s="229"/>
      <c r="T74" s="229"/>
      <c r="U74" s="281"/>
      <c r="V74" s="50"/>
      <c r="W74" s="89"/>
      <c r="Z74" s="87"/>
      <c r="AA74" s="29"/>
    </row>
    <row r="75" spans="1:27" ht="12.75" hidden="1" customHeight="1" outlineLevel="1" x14ac:dyDescent="0.25">
      <c r="A75" s="142"/>
      <c r="B75" s="134"/>
      <c r="C75" s="65"/>
      <c r="D75" s="99" t="s">
        <v>58</v>
      </c>
      <c r="E75" s="33"/>
      <c r="F75" s="170">
        <f>SUM(F72:F74)</f>
        <v>2725</v>
      </c>
      <c r="G75" s="156"/>
      <c r="H75" s="156"/>
      <c r="K75" s="61"/>
      <c r="L75" s="61"/>
      <c r="M75" s="491"/>
      <c r="N75" s="251"/>
      <c r="O75" s="254"/>
      <c r="P75" s="251"/>
      <c r="Q75" s="249"/>
      <c r="R75" s="272"/>
      <c r="S75" s="229"/>
      <c r="T75" s="229"/>
      <c r="U75" s="281"/>
      <c r="V75" s="50"/>
      <c r="W75" s="89"/>
      <c r="Z75" s="87"/>
      <c r="AA75" s="29"/>
    </row>
    <row r="76" spans="1:27" s="17" customFormat="1" ht="12.75" hidden="1" customHeight="1" outlineLevel="1" x14ac:dyDescent="0.25">
      <c r="A76" s="143" t="s">
        <v>47</v>
      </c>
      <c r="B76" s="131" t="s">
        <v>42</v>
      </c>
      <c r="C76" s="59" t="s">
        <v>43</v>
      </c>
      <c r="D76" s="59" t="s">
        <v>44</v>
      </c>
      <c r="E76" s="59" t="s">
        <v>45</v>
      </c>
      <c r="F76" s="166" t="s">
        <v>46</v>
      </c>
      <c r="G76" s="151"/>
      <c r="H76" s="151"/>
      <c r="M76" s="491"/>
      <c r="N76" s="251"/>
      <c r="O76" s="254"/>
      <c r="P76" s="251"/>
      <c r="Q76" s="249"/>
      <c r="R76" s="272"/>
      <c r="S76" s="229"/>
      <c r="T76" s="229"/>
      <c r="U76" s="281"/>
      <c r="V76" s="50"/>
      <c r="W76" s="89"/>
      <c r="Z76" s="87"/>
      <c r="AA76" s="88"/>
    </row>
    <row r="77" spans="1:27" s="17" customFormat="1" ht="12.75" hidden="1" customHeight="1" outlineLevel="1" x14ac:dyDescent="0.25">
      <c r="A77" s="144">
        <v>1</v>
      </c>
      <c r="B77" s="132" t="s">
        <v>89</v>
      </c>
      <c r="C77" s="65">
        <v>1</v>
      </c>
      <c r="D77" s="65" t="s">
        <v>60</v>
      </c>
      <c r="E77" s="98">
        <f>115*8</f>
        <v>920</v>
      </c>
      <c r="F77" s="171">
        <f>E77*C77*A77</f>
        <v>920</v>
      </c>
      <c r="G77" s="151"/>
      <c r="H77" s="151"/>
      <c r="M77" s="491"/>
      <c r="N77" s="232"/>
      <c r="O77" s="249"/>
      <c r="P77" s="251"/>
      <c r="Q77" s="254"/>
      <c r="R77" s="272"/>
      <c r="S77" s="273"/>
      <c r="T77" s="273"/>
      <c r="U77" s="281"/>
      <c r="V77" s="50"/>
      <c r="W77" s="89"/>
      <c r="Z77" s="87"/>
      <c r="AA77" s="94"/>
    </row>
    <row r="78" spans="1:27" s="17" customFormat="1" ht="12.75" hidden="1" customHeight="1" outlineLevel="1" x14ac:dyDescent="0.25">
      <c r="A78" s="144">
        <v>1</v>
      </c>
      <c r="B78" s="132" t="s">
        <v>71</v>
      </c>
      <c r="C78" s="65">
        <v>1</v>
      </c>
      <c r="D78" s="65" t="s">
        <v>60</v>
      </c>
      <c r="E78" s="98">
        <f>81*8</f>
        <v>648</v>
      </c>
      <c r="F78" s="172">
        <f>E78*C78*A78</f>
        <v>648</v>
      </c>
      <c r="G78" s="151"/>
      <c r="H78" s="151"/>
      <c r="M78" s="491"/>
      <c r="N78" s="232"/>
      <c r="O78" s="249"/>
      <c r="P78" s="251"/>
      <c r="Q78" s="254"/>
      <c r="R78" s="272"/>
      <c r="S78" s="273"/>
      <c r="T78" s="273"/>
      <c r="U78" s="281"/>
      <c r="V78" s="50"/>
      <c r="W78" s="89"/>
      <c r="Z78" s="87"/>
      <c r="AA78" s="94"/>
    </row>
    <row r="79" spans="1:27" ht="12.75" hidden="1" customHeight="1" outlineLevel="1" x14ac:dyDescent="0.25">
      <c r="A79" s="142"/>
      <c r="B79" s="134"/>
      <c r="C79" s="58"/>
      <c r="D79" s="99" t="s">
        <v>61</v>
      </c>
      <c r="E79" s="33"/>
      <c r="F79" s="171">
        <f>SUM(F77:F78)</f>
        <v>1568</v>
      </c>
      <c r="G79" s="156"/>
      <c r="H79" s="156"/>
      <c r="K79" s="61"/>
      <c r="L79" s="61"/>
      <c r="M79" s="491"/>
      <c r="N79" s="251"/>
      <c r="O79" s="254"/>
      <c r="P79" s="251"/>
      <c r="Q79" s="249"/>
      <c r="R79" s="272"/>
      <c r="S79" s="229"/>
      <c r="T79" s="229"/>
      <c r="U79" s="281"/>
      <c r="V79" s="50"/>
      <c r="W79" s="89"/>
      <c r="Z79" s="87"/>
      <c r="AA79" s="29"/>
    </row>
    <row r="80" spans="1:27" ht="12.75" hidden="1" customHeight="1" outlineLevel="1" x14ac:dyDescent="0.25">
      <c r="A80" s="145"/>
      <c r="B80" s="131" t="s">
        <v>87</v>
      </c>
      <c r="C80" s="59" t="s">
        <v>43</v>
      </c>
      <c r="D80" s="59" t="s">
        <v>44</v>
      </c>
      <c r="E80" s="59" t="s">
        <v>45</v>
      </c>
      <c r="F80" s="166" t="s">
        <v>46</v>
      </c>
      <c r="G80" s="156"/>
      <c r="H80" s="156"/>
      <c r="J80" s="61"/>
      <c r="K80" s="34"/>
      <c r="L80" s="34"/>
      <c r="M80" s="247"/>
      <c r="N80" s="251"/>
      <c r="O80" s="254"/>
      <c r="P80" s="251"/>
      <c r="Q80" s="249"/>
      <c r="R80" s="272"/>
      <c r="S80" s="229"/>
      <c r="T80" s="229"/>
      <c r="U80" s="273"/>
      <c r="V80" s="50"/>
      <c r="Y80" s="87"/>
      <c r="Z80" s="90"/>
    </row>
    <row r="81" spans="1:27" ht="12.75" hidden="1" customHeight="1" outlineLevel="1" x14ac:dyDescent="0.25">
      <c r="A81" s="145"/>
      <c r="B81" s="167" t="s">
        <v>90</v>
      </c>
      <c r="C81" s="62">
        <v>1</v>
      </c>
      <c r="D81" s="62" t="s">
        <v>15</v>
      </c>
      <c r="E81" s="97">
        <f>F79*0.1</f>
        <v>156.80000000000001</v>
      </c>
      <c r="F81" s="168">
        <f t="shared" ref="F81" si="12">E81*C81</f>
        <v>156.80000000000001</v>
      </c>
      <c r="G81" s="223" t="s">
        <v>91</v>
      </c>
      <c r="H81" s="156"/>
      <c r="J81" s="61"/>
      <c r="K81" s="34"/>
      <c r="L81" s="34"/>
      <c r="M81" s="247"/>
      <c r="N81" s="251"/>
      <c r="O81" s="254"/>
      <c r="P81" s="251"/>
      <c r="Q81" s="249"/>
      <c r="R81" s="272"/>
      <c r="S81" s="229"/>
      <c r="T81" s="229"/>
      <c r="U81" s="273"/>
      <c r="V81" s="50"/>
      <c r="Y81" s="87"/>
      <c r="Z81" s="90"/>
    </row>
    <row r="82" spans="1:27" ht="12.75" hidden="1" customHeight="1" outlineLevel="1" x14ac:dyDescent="0.25">
      <c r="A82" s="145"/>
      <c r="B82" s="134"/>
      <c r="C82" s="58"/>
      <c r="D82" s="99" t="s">
        <v>88</v>
      </c>
      <c r="E82" s="33"/>
      <c r="F82" s="172">
        <f>F81</f>
        <v>156.80000000000001</v>
      </c>
      <c r="G82" s="156"/>
      <c r="H82" s="156"/>
      <c r="J82" s="61"/>
      <c r="K82" s="34"/>
      <c r="L82" s="34"/>
      <c r="M82" s="247"/>
      <c r="N82" s="251"/>
      <c r="O82" s="254"/>
      <c r="P82" s="251"/>
      <c r="Q82" s="249"/>
      <c r="R82" s="272"/>
      <c r="S82" s="229"/>
      <c r="T82" s="229"/>
      <c r="U82" s="273"/>
      <c r="V82" s="50"/>
      <c r="Y82" s="87"/>
      <c r="Z82" s="90"/>
    </row>
    <row r="83" spans="1:27" s="17" customFormat="1" ht="12.75" hidden="1" customHeight="1" outlineLevel="1" x14ac:dyDescent="0.25">
      <c r="A83" s="142"/>
      <c r="B83" s="132"/>
      <c r="C83" s="58"/>
      <c r="D83" s="99" t="s">
        <v>46</v>
      </c>
      <c r="E83" s="33"/>
      <c r="F83" s="171">
        <v>5000</v>
      </c>
      <c r="G83" s="151"/>
      <c r="H83" s="151"/>
      <c r="M83" s="491"/>
      <c r="N83" s="251"/>
      <c r="O83" s="254"/>
      <c r="P83" s="251"/>
      <c r="Q83" s="249"/>
      <c r="R83" s="272"/>
      <c r="S83" s="229"/>
      <c r="T83" s="229"/>
      <c r="U83" s="281"/>
      <c r="V83" s="50"/>
      <c r="W83" s="89"/>
      <c r="Z83" s="87"/>
      <c r="AA83" s="88"/>
    </row>
    <row r="84" spans="1:27" ht="7.5" hidden="1" customHeight="1" outlineLevel="1" x14ac:dyDescent="0.25">
      <c r="A84" s="142"/>
      <c r="B84" s="128"/>
      <c r="C84" s="33"/>
      <c r="D84" s="33"/>
      <c r="E84" s="33"/>
      <c r="F84" s="165"/>
      <c r="G84" s="221"/>
      <c r="H84" s="234"/>
      <c r="I84" s="86"/>
      <c r="J84" s="86"/>
      <c r="K84" s="86"/>
      <c r="L84" s="86"/>
      <c r="M84" s="489"/>
      <c r="N84" s="250"/>
      <c r="O84" s="135"/>
      <c r="P84" s="266"/>
      <c r="Q84" s="249"/>
      <c r="R84" s="272"/>
      <c r="S84" s="229"/>
      <c r="T84" s="229"/>
      <c r="U84" s="150"/>
    </row>
    <row r="85" spans="1:27" collapsed="1" x14ac:dyDescent="0.25">
      <c r="A85" s="290">
        <v>1.4</v>
      </c>
      <c r="B85" s="291"/>
      <c r="C85" s="292" t="s">
        <v>30</v>
      </c>
      <c r="D85" s="293"/>
      <c r="E85" s="293"/>
      <c r="F85" s="294"/>
      <c r="G85" s="295">
        <v>1</v>
      </c>
      <c r="H85" s="296" t="s">
        <v>15</v>
      </c>
      <c r="I85" s="299"/>
      <c r="J85" s="298"/>
      <c r="K85" s="298"/>
      <c r="L85" s="298"/>
      <c r="M85" s="490">
        <f>ROUNDUP(M456*1%,0)</f>
        <v>6944</v>
      </c>
      <c r="N85" s="301">
        <v>0</v>
      </c>
      <c r="O85" s="322">
        <v>0</v>
      </c>
      <c r="P85" s="303">
        <f t="shared" si="2"/>
        <v>0</v>
      </c>
      <c r="Q85" s="302">
        <f>P85*M85</f>
        <v>0</v>
      </c>
      <c r="R85" s="304">
        <f>ROUND((M85+Q85)*0.05,2)</f>
        <v>347.2</v>
      </c>
      <c r="S85" s="305">
        <f>R85+Q85</f>
        <v>347.2</v>
      </c>
      <c r="T85" s="305">
        <f>M85+S85</f>
        <v>7291.2</v>
      </c>
      <c r="U85" s="305">
        <f>T85/G85</f>
        <v>7291.2</v>
      </c>
    </row>
    <row r="86" spans="1:27" ht="8.1" hidden="1" customHeight="1" outlineLevel="1" x14ac:dyDescent="0.25">
      <c r="A86" s="139"/>
      <c r="B86" s="126"/>
      <c r="C86" s="481"/>
      <c r="D86" s="481"/>
      <c r="E86" s="481"/>
      <c r="F86" s="160"/>
      <c r="G86" s="140"/>
      <c r="H86" s="140"/>
      <c r="I86" s="12"/>
      <c r="J86" s="12"/>
      <c r="K86" s="12"/>
      <c r="L86" s="12"/>
      <c r="M86" s="492"/>
      <c r="N86" s="126"/>
      <c r="O86" s="176"/>
      <c r="P86" s="264"/>
      <c r="Q86" s="176"/>
      <c r="R86" s="272"/>
      <c r="S86" s="271"/>
      <c r="T86" s="271"/>
      <c r="U86" s="271"/>
    </row>
    <row r="87" spans="1:27" hidden="1" outlineLevel="1" x14ac:dyDescent="0.25">
      <c r="A87" s="139" t="s">
        <v>47</v>
      </c>
      <c r="B87" s="126" t="s">
        <v>42</v>
      </c>
      <c r="C87" s="481" t="s">
        <v>43</v>
      </c>
      <c r="D87" s="481" t="s">
        <v>44</v>
      </c>
      <c r="E87" s="84" t="s">
        <v>45</v>
      </c>
      <c r="F87" s="160" t="s">
        <v>46</v>
      </c>
      <c r="G87" s="220"/>
      <c r="H87" s="233" t="s">
        <v>15</v>
      </c>
      <c r="I87" s="12"/>
      <c r="J87" s="12"/>
      <c r="K87" s="12"/>
      <c r="L87" s="12"/>
      <c r="M87" s="493"/>
      <c r="N87" s="232"/>
      <c r="O87" s="249"/>
      <c r="P87" s="266"/>
      <c r="Q87" s="249"/>
      <c r="R87" s="272"/>
      <c r="S87" s="229"/>
      <c r="T87" s="229"/>
      <c r="U87" s="229"/>
    </row>
    <row r="88" spans="1:27" hidden="1" outlineLevel="1" x14ac:dyDescent="0.25">
      <c r="A88" s="147"/>
      <c r="B88" s="137">
        <v>0.01</v>
      </c>
      <c r="C88" s="1" t="s">
        <v>48</v>
      </c>
      <c r="D88" s="1"/>
      <c r="E88" s="4"/>
      <c r="F88" s="164"/>
      <c r="G88" s="220"/>
      <c r="H88" s="233" t="s">
        <v>15</v>
      </c>
      <c r="J88" s="12"/>
      <c r="K88" s="12"/>
      <c r="L88" s="12"/>
      <c r="M88" s="493"/>
      <c r="N88" s="232"/>
      <c r="O88" s="249"/>
      <c r="P88" s="266"/>
      <c r="Q88" s="249"/>
      <c r="R88" s="272"/>
      <c r="S88" s="229"/>
      <c r="T88" s="229"/>
      <c r="U88" s="229"/>
    </row>
    <row r="89" spans="1:27" ht="8.1" hidden="1" customHeight="1" outlineLevel="1" x14ac:dyDescent="0.25">
      <c r="A89" s="139"/>
      <c r="B89" s="126"/>
      <c r="C89" s="481"/>
      <c r="D89" s="481"/>
      <c r="E89" s="481"/>
      <c r="F89" s="160"/>
      <c r="G89" s="140"/>
      <c r="H89" s="140"/>
      <c r="I89" s="12"/>
      <c r="J89" s="12"/>
      <c r="K89" s="12"/>
      <c r="L89" s="12"/>
      <c r="M89" s="492"/>
      <c r="N89" s="126"/>
      <c r="O89" s="176"/>
      <c r="P89" s="264"/>
      <c r="Q89" s="176"/>
      <c r="R89" s="272"/>
      <c r="S89" s="271"/>
      <c r="T89" s="271"/>
      <c r="U89" s="271"/>
    </row>
    <row r="90" spans="1:27" s="1" customFormat="1" collapsed="1" x14ac:dyDescent="0.25">
      <c r="A90" s="141">
        <v>1.5</v>
      </c>
      <c r="B90" s="161"/>
      <c r="C90" s="2" t="s">
        <v>35</v>
      </c>
      <c r="F90" s="164"/>
      <c r="G90" s="220">
        <v>1</v>
      </c>
      <c r="H90" s="233" t="s">
        <v>15</v>
      </c>
      <c r="I90" s="13">
        <v>20000</v>
      </c>
      <c r="J90" s="12"/>
      <c r="K90" s="12"/>
      <c r="L90" s="12"/>
      <c r="M90" s="493">
        <f>G90*I90</f>
        <v>20000</v>
      </c>
      <c r="N90" s="252">
        <f>ROUND(M90*0.12,2)</f>
        <v>2400</v>
      </c>
      <c r="O90" s="253">
        <f>ROUND(M90*0.08,2)</f>
        <v>1600</v>
      </c>
      <c r="P90" s="267">
        <v>0.25</v>
      </c>
      <c r="Q90" s="253">
        <f>P90*M90</f>
        <v>5000</v>
      </c>
      <c r="R90" s="274">
        <f t="shared" si="4"/>
        <v>1250</v>
      </c>
      <c r="S90" s="276">
        <f>R90+Q90</f>
        <v>6250</v>
      </c>
      <c r="T90" s="276">
        <f t="shared" si="0"/>
        <v>26250</v>
      </c>
      <c r="U90" s="276">
        <f>T90/G90</f>
        <v>26250</v>
      </c>
      <c r="V90" s="47"/>
      <c r="W90" s="3"/>
    </row>
    <row r="91" spans="1:27" ht="8.1" hidden="1" customHeight="1" outlineLevel="1" x14ac:dyDescent="0.25">
      <c r="A91" s="139"/>
      <c r="B91" s="126"/>
      <c r="C91" s="53"/>
      <c r="D91" s="53"/>
      <c r="E91" s="53"/>
      <c r="F91" s="176"/>
      <c r="G91" s="139"/>
      <c r="H91" s="139"/>
      <c r="I91" s="12"/>
      <c r="J91" s="12"/>
      <c r="K91" s="12"/>
      <c r="L91" s="12"/>
      <c r="M91" s="139"/>
      <c r="N91" s="126"/>
      <c r="O91" s="176"/>
      <c r="P91" s="264"/>
      <c r="Q91" s="176"/>
      <c r="R91" s="271"/>
      <c r="S91" s="271"/>
      <c r="T91" s="271"/>
      <c r="U91" s="271"/>
    </row>
    <row r="92" spans="1:27" hidden="1" outlineLevel="1" x14ac:dyDescent="0.25">
      <c r="A92" s="139" t="s">
        <v>47</v>
      </c>
      <c r="B92" s="126" t="s">
        <v>42</v>
      </c>
      <c r="C92" s="53" t="s">
        <v>43</v>
      </c>
      <c r="D92" s="53" t="s">
        <v>44</v>
      </c>
      <c r="E92" s="28" t="s">
        <v>45</v>
      </c>
      <c r="F92" s="176" t="s">
        <v>46</v>
      </c>
      <c r="G92" s="224"/>
      <c r="H92" s="235"/>
      <c r="I92" s="12"/>
      <c r="J92" s="12"/>
      <c r="K92" s="12"/>
      <c r="L92" s="12"/>
      <c r="M92" s="231"/>
      <c r="N92" s="232"/>
      <c r="O92" s="249"/>
      <c r="P92" s="266"/>
      <c r="Q92" s="249"/>
      <c r="R92" s="229"/>
      <c r="S92" s="229"/>
      <c r="T92" s="229"/>
      <c r="U92" s="229"/>
    </row>
    <row r="93" spans="1:27" s="17" customFormat="1" ht="12.75" hidden="1" customHeight="1" outlineLevel="1" x14ac:dyDescent="0.25">
      <c r="A93" s="144"/>
      <c r="B93" s="132"/>
      <c r="C93" s="64"/>
      <c r="D93" s="100"/>
      <c r="E93" s="101"/>
      <c r="F93" s="177"/>
      <c r="G93" s="142"/>
      <c r="H93" s="236"/>
      <c r="I93" s="35"/>
      <c r="J93" s="86"/>
      <c r="K93" s="86"/>
      <c r="L93" s="86"/>
      <c r="M93" s="241"/>
      <c r="N93" s="251"/>
      <c r="O93" s="135"/>
      <c r="P93" s="250"/>
      <c r="Q93" s="133"/>
      <c r="R93" s="273"/>
      <c r="S93" s="273"/>
      <c r="T93" s="142"/>
      <c r="U93" s="142"/>
      <c r="V93" s="50"/>
      <c r="W93" s="54"/>
    </row>
    <row r="94" spans="1:27" ht="8.1" customHeight="1" collapsed="1" x14ac:dyDescent="0.25">
      <c r="A94" s="139"/>
      <c r="B94" s="126"/>
      <c r="C94" s="53"/>
      <c r="D94" s="53"/>
      <c r="E94" s="53"/>
      <c r="F94" s="176"/>
      <c r="G94" s="139"/>
      <c r="H94" s="139"/>
      <c r="I94" s="12"/>
      <c r="J94" s="12"/>
      <c r="K94" s="12"/>
      <c r="L94" s="12"/>
      <c r="M94" s="139"/>
      <c r="N94" s="126"/>
      <c r="O94" s="176"/>
      <c r="P94" s="264"/>
      <c r="Q94" s="176"/>
      <c r="R94" s="271"/>
      <c r="S94" s="271"/>
      <c r="T94" s="271"/>
      <c r="U94" s="271"/>
    </row>
    <row r="95" spans="1:27" s="1" customFormat="1" ht="14.1" customHeight="1" thickBot="1" x14ac:dyDescent="0.3">
      <c r="A95" s="148"/>
      <c r="B95" s="615"/>
      <c r="C95" s="616"/>
      <c r="D95" s="616"/>
      <c r="E95" s="476"/>
      <c r="F95" s="178"/>
      <c r="G95" s="225"/>
      <c r="H95" s="237"/>
      <c r="I95" s="138"/>
      <c r="J95" s="138"/>
      <c r="K95" s="138"/>
      <c r="L95" s="138"/>
      <c r="M95" s="244"/>
      <c r="N95" s="255"/>
      <c r="O95" s="256"/>
      <c r="P95" s="268"/>
      <c r="Q95" s="256"/>
      <c r="R95" s="275"/>
      <c r="S95" s="279" t="s">
        <v>17</v>
      </c>
      <c r="T95" s="286">
        <f>SUM(T8:T94)</f>
        <v>104544.83</v>
      </c>
      <c r="U95" s="440"/>
      <c r="V95" s="47"/>
      <c r="W95" s="3"/>
    </row>
    <row r="96" spans="1:27" ht="8.1" customHeight="1" x14ac:dyDescent="0.25">
      <c r="A96" s="139"/>
      <c r="B96" s="126"/>
      <c r="C96" s="53"/>
      <c r="D96" s="53"/>
      <c r="E96" s="53"/>
      <c r="F96" s="176"/>
      <c r="G96" s="139"/>
      <c r="H96" s="139"/>
      <c r="I96" s="12"/>
      <c r="J96" s="12"/>
      <c r="K96" s="12"/>
      <c r="L96" s="12"/>
      <c r="M96" s="139"/>
      <c r="N96" s="126"/>
      <c r="O96" s="176"/>
      <c r="P96" s="264"/>
      <c r="Q96" s="176"/>
      <c r="R96" s="271"/>
      <c r="S96" s="271"/>
      <c r="T96" s="271"/>
      <c r="U96" s="271"/>
    </row>
    <row r="97" spans="1:69" s="343" customFormat="1" ht="12.75" customHeight="1" x14ac:dyDescent="0.25">
      <c r="A97" s="334">
        <v>2</v>
      </c>
      <c r="B97" s="335" t="s">
        <v>39</v>
      </c>
      <c r="C97" s="336"/>
      <c r="D97" s="336"/>
      <c r="E97" s="336"/>
      <c r="F97" s="337"/>
      <c r="G97" s="338"/>
      <c r="H97" s="338"/>
      <c r="I97" s="298"/>
      <c r="J97" s="298"/>
      <c r="K97" s="298"/>
      <c r="L97" s="298"/>
      <c r="M97" s="338"/>
      <c r="N97" s="339"/>
      <c r="O97" s="340"/>
      <c r="P97" s="341"/>
      <c r="Q97" s="340"/>
      <c r="R97" s="342"/>
      <c r="S97" s="342"/>
      <c r="T97" s="342"/>
      <c r="U97" s="342"/>
      <c r="V97" s="47"/>
      <c r="W97" s="7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</row>
    <row r="98" spans="1:69" s="293" customFormat="1" ht="12.75" customHeight="1" x14ac:dyDescent="0.25">
      <c r="A98" s="290">
        <v>2.1</v>
      </c>
      <c r="B98" s="291"/>
      <c r="C98" s="292" t="s">
        <v>137</v>
      </c>
      <c r="F98" s="294"/>
      <c r="G98" s="295"/>
      <c r="H98" s="296"/>
      <c r="I98" s="298"/>
      <c r="J98" s="298"/>
      <c r="K98" s="298"/>
      <c r="L98" s="298"/>
      <c r="M98" s="327"/>
      <c r="N98" s="328"/>
      <c r="O98" s="329"/>
      <c r="P98" s="330"/>
      <c r="Q98" s="329"/>
      <c r="R98" s="332"/>
      <c r="S98" s="332"/>
      <c r="T98" s="332"/>
      <c r="U98" s="332"/>
      <c r="V98" s="47"/>
      <c r="W98" s="3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 spans="1:69" s="293" customFormat="1" ht="13.8" customHeight="1" x14ac:dyDescent="0.25">
      <c r="A99" s="324"/>
      <c r="B99" s="325" t="s">
        <v>36</v>
      </c>
      <c r="C99" s="293" t="s">
        <v>213</v>
      </c>
      <c r="F99" s="294"/>
      <c r="G99" s="295">
        <f>1</f>
        <v>1</v>
      </c>
      <c r="H99" s="296" t="s">
        <v>15</v>
      </c>
      <c r="I99" s="297"/>
      <c r="J99" s="297">
        <f>F111</f>
        <v>2592</v>
      </c>
      <c r="K99" s="297">
        <f>F114</f>
        <v>2000</v>
      </c>
      <c r="L99" s="297">
        <f>SUM(I99:K99)</f>
        <v>4592</v>
      </c>
      <c r="M99" s="327">
        <f>ROUNDUP(G99*L99,-1)</f>
        <v>4600</v>
      </c>
      <c r="N99" s="328">
        <f t="shared" ref="N99" si="13">ROUND(M99*0.12,2)</f>
        <v>552</v>
      </c>
      <c r="O99" s="329">
        <f t="shared" ref="O99" si="14">ROUND(M99*0.08,2)</f>
        <v>368</v>
      </c>
      <c r="P99" s="330">
        <v>0.25</v>
      </c>
      <c r="Q99" s="329">
        <f>P99*M99</f>
        <v>1150</v>
      </c>
      <c r="R99" s="331">
        <f t="shared" ref="R99" si="15">ROUND((M99+Q99)*0.05,2)</f>
        <v>287.5</v>
      </c>
      <c r="S99" s="332">
        <f>R99+Q99</f>
        <v>1437.5</v>
      </c>
      <c r="T99" s="332">
        <f>M99+S99</f>
        <v>6037.5</v>
      </c>
      <c r="U99" s="332">
        <f>T99/G99</f>
        <v>6037.5</v>
      </c>
      <c r="V99" s="47"/>
      <c r="W99" s="3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 spans="1:69" s="17" customFormat="1" ht="12.75" customHeight="1" outlineLevel="1" x14ac:dyDescent="0.25">
      <c r="A100" s="142"/>
      <c r="B100" s="180"/>
      <c r="C100" s="33"/>
      <c r="D100" s="33"/>
      <c r="E100" s="33"/>
      <c r="F100" s="165"/>
      <c r="G100" s="151"/>
      <c r="H100" s="151"/>
      <c r="K100" s="34"/>
      <c r="L100" s="35"/>
      <c r="M100" s="241"/>
      <c r="N100" s="232"/>
      <c r="O100" s="249"/>
      <c r="P100" s="266"/>
      <c r="Q100" s="249"/>
      <c r="R100" s="272"/>
      <c r="S100" s="229"/>
      <c r="T100" s="229"/>
      <c r="U100" s="229"/>
      <c r="V100" s="50"/>
      <c r="W100" s="54"/>
      <c r="Y100" s="87"/>
      <c r="Z100" s="88"/>
    </row>
    <row r="101" spans="1:69" s="17" customFormat="1" ht="12.75" customHeight="1" outlineLevel="1" x14ac:dyDescent="0.25">
      <c r="A101" s="142"/>
      <c r="B101" s="494" t="s">
        <v>212</v>
      </c>
      <c r="C101" s="495"/>
      <c r="D101" s="495"/>
      <c r="E101" s="496"/>
      <c r="F101" s="495"/>
      <c r="G101" s="151"/>
      <c r="H101" s="151"/>
      <c r="K101" s="34"/>
      <c r="L101" s="35"/>
      <c r="M101" s="241"/>
      <c r="N101" s="232"/>
      <c r="O101" s="249"/>
      <c r="P101" s="266"/>
      <c r="Q101" s="249"/>
      <c r="R101" s="272"/>
      <c r="S101" s="229"/>
      <c r="T101" s="229"/>
      <c r="U101" s="229"/>
      <c r="V101" s="50"/>
      <c r="W101" s="54"/>
      <c r="Y101" s="87"/>
      <c r="Z101" s="88"/>
    </row>
    <row r="102" spans="1:69" s="17" customFormat="1" ht="12.75" customHeight="1" outlineLevel="1" x14ac:dyDescent="0.25">
      <c r="A102" s="142"/>
      <c r="B102" s="494"/>
      <c r="C102" s="497" t="s">
        <v>77</v>
      </c>
      <c r="D102" s="497"/>
      <c r="E102" s="496">
        <v>5</v>
      </c>
      <c r="F102" s="495" t="s">
        <v>81</v>
      </c>
      <c r="G102" s="151"/>
      <c r="H102" s="151"/>
      <c r="K102" s="34"/>
      <c r="L102" s="35"/>
      <c r="M102" s="241"/>
      <c r="N102" s="232"/>
      <c r="O102" s="249"/>
      <c r="P102" s="266"/>
      <c r="Q102" s="249"/>
      <c r="R102" s="272"/>
      <c r="S102" s="229"/>
      <c r="T102" s="229"/>
      <c r="U102" s="229"/>
      <c r="V102" s="50"/>
      <c r="W102" s="54"/>
      <c r="Y102" s="87"/>
      <c r="Z102" s="88"/>
    </row>
    <row r="103" spans="1:69" s="17" customFormat="1" ht="12.75" customHeight="1" outlineLevel="1" x14ac:dyDescent="0.25">
      <c r="A103" s="142"/>
      <c r="B103" s="494"/>
      <c r="C103" s="497" t="s">
        <v>80</v>
      </c>
      <c r="D103" s="497"/>
      <c r="E103" s="496">
        <v>2.2999999999999998</v>
      </c>
      <c r="F103" s="495" t="s">
        <v>81</v>
      </c>
      <c r="G103" s="151"/>
      <c r="H103" s="151"/>
      <c r="K103" s="34"/>
      <c r="L103" s="35"/>
      <c r="M103" s="241"/>
      <c r="N103" s="232"/>
      <c r="O103" s="249"/>
      <c r="P103" s="266"/>
      <c r="Q103" s="249"/>
      <c r="R103" s="272"/>
      <c r="S103" s="229"/>
      <c r="T103" s="229"/>
      <c r="U103" s="229"/>
      <c r="V103" s="50"/>
      <c r="W103" s="54"/>
      <c r="Y103" s="87"/>
      <c r="Z103" s="88"/>
    </row>
    <row r="104" spans="1:69" s="17" customFormat="1" ht="12.75" customHeight="1" outlineLevel="1" x14ac:dyDescent="0.25">
      <c r="A104" s="142"/>
      <c r="B104" s="494"/>
      <c r="C104" s="497" t="s">
        <v>82</v>
      </c>
      <c r="D104" s="497"/>
      <c r="E104" s="498">
        <v>2.4</v>
      </c>
      <c r="F104" s="495" t="s">
        <v>81</v>
      </c>
      <c r="G104" s="151"/>
      <c r="H104" s="151"/>
      <c r="K104" s="34"/>
      <c r="L104" s="35"/>
      <c r="M104" s="241"/>
      <c r="N104" s="232"/>
      <c r="O104" s="249"/>
      <c r="P104" s="266"/>
      <c r="Q104" s="249"/>
      <c r="R104" s="272"/>
      <c r="S104" s="229"/>
      <c r="T104" s="229"/>
      <c r="U104" s="229"/>
      <c r="V104" s="50"/>
      <c r="W104" s="54"/>
      <c r="Y104" s="87"/>
      <c r="Z104" s="88"/>
    </row>
    <row r="105" spans="1:69" s="17" customFormat="1" ht="12.75" customHeight="1" outlineLevel="1" x14ac:dyDescent="0.25">
      <c r="A105" s="142"/>
      <c r="B105" s="494"/>
      <c r="C105" s="497" t="s">
        <v>83</v>
      </c>
      <c r="D105" s="497"/>
      <c r="E105" s="496">
        <f>E102*E103</f>
        <v>11.5</v>
      </c>
      <c r="F105" s="495" t="s">
        <v>18</v>
      </c>
      <c r="G105" s="151"/>
      <c r="H105" s="151"/>
      <c r="K105" s="34"/>
      <c r="L105" s="35"/>
      <c r="M105" s="241"/>
      <c r="N105" s="232"/>
      <c r="O105" s="249"/>
      <c r="P105" s="266"/>
      <c r="Q105" s="249"/>
      <c r="R105" s="272"/>
      <c r="S105" s="229"/>
      <c r="T105" s="229"/>
      <c r="U105" s="229"/>
      <c r="V105" s="50"/>
      <c r="W105" s="54"/>
      <c r="Y105" s="87"/>
      <c r="Z105" s="88"/>
    </row>
    <row r="106" spans="1:69" s="17" customFormat="1" ht="12.75" customHeight="1" outlineLevel="1" x14ac:dyDescent="0.25">
      <c r="A106" s="142"/>
      <c r="B106" s="494"/>
      <c r="C106" s="497" t="s">
        <v>210</v>
      </c>
      <c r="D106" s="497"/>
      <c r="E106" s="496">
        <f>E102*E103*E104</f>
        <v>27.599999999999998</v>
      </c>
      <c r="F106" s="495" t="s">
        <v>211</v>
      </c>
      <c r="G106" s="151"/>
      <c r="H106" s="151"/>
      <c r="K106" s="34"/>
      <c r="L106" s="35"/>
      <c r="M106" s="241"/>
      <c r="N106" s="232"/>
      <c r="O106" s="249"/>
      <c r="P106" s="266"/>
      <c r="Q106" s="249"/>
      <c r="R106" s="272"/>
      <c r="S106" s="229"/>
      <c r="T106" s="229"/>
      <c r="U106" s="229"/>
      <c r="V106" s="50"/>
      <c r="W106" s="54"/>
      <c r="Y106" s="87"/>
      <c r="Z106" s="88"/>
    </row>
    <row r="107" spans="1:69" s="17" customFormat="1" ht="12.75" customHeight="1" outlineLevel="1" x14ac:dyDescent="0.25">
      <c r="A107" s="142"/>
      <c r="B107" s="180"/>
      <c r="C107" s="33"/>
      <c r="D107" s="33"/>
      <c r="E107" s="33"/>
      <c r="F107" s="165"/>
      <c r="G107" s="151"/>
      <c r="H107" s="151"/>
      <c r="K107" s="34"/>
      <c r="L107" s="35"/>
      <c r="M107" s="241"/>
      <c r="N107" s="232"/>
      <c r="O107" s="249"/>
      <c r="P107" s="266"/>
      <c r="Q107" s="249"/>
      <c r="R107" s="272"/>
      <c r="S107" s="229"/>
      <c r="T107" s="229"/>
      <c r="U107" s="229"/>
      <c r="V107" s="50"/>
      <c r="W107" s="54"/>
      <c r="Y107" s="87"/>
      <c r="Z107" s="88"/>
    </row>
    <row r="108" spans="1:69" s="17" customFormat="1" ht="12.75" customHeight="1" outlineLevel="1" x14ac:dyDescent="0.25">
      <c r="A108" s="142"/>
      <c r="B108" s="180"/>
      <c r="C108" s="33"/>
      <c r="D108" s="33"/>
      <c r="E108" s="33"/>
      <c r="F108" s="165"/>
      <c r="G108" s="151"/>
      <c r="H108" s="151"/>
      <c r="K108" s="34"/>
      <c r="L108" s="35"/>
      <c r="M108" s="241"/>
      <c r="N108" s="232"/>
      <c r="O108" s="249"/>
      <c r="P108" s="266"/>
      <c r="Q108" s="249"/>
      <c r="R108" s="272"/>
      <c r="S108" s="229"/>
      <c r="T108" s="229"/>
      <c r="U108" s="229"/>
      <c r="V108" s="50"/>
      <c r="W108" s="54"/>
      <c r="Y108" s="87"/>
      <c r="Z108" s="88"/>
    </row>
    <row r="109" spans="1:69" s="17" customFormat="1" ht="12.75" customHeight="1" outlineLevel="1" x14ac:dyDescent="0.25">
      <c r="A109" s="143" t="s">
        <v>47</v>
      </c>
      <c r="B109" s="131" t="s">
        <v>42</v>
      </c>
      <c r="C109" s="59" t="s">
        <v>43</v>
      </c>
      <c r="D109" s="59" t="s">
        <v>44</v>
      </c>
      <c r="E109" s="59" t="s">
        <v>45</v>
      </c>
      <c r="F109" s="166" t="s">
        <v>46</v>
      </c>
      <c r="G109" s="151"/>
      <c r="H109" s="151"/>
      <c r="J109" s="17" t="s">
        <v>94</v>
      </c>
      <c r="K109" s="34"/>
      <c r="L109" s="35"/>
      <c r="M109" s="241"/>
      <c r="N109" s="232"/>
      <c r="O109" s="249"/>
      <c r="P109" s="266"/>
      <c r="Q109" s="249"/>
      <c r="R109" s="272"/>
      <c r="S109" s="229"/>
      <c r="T109" s="229"/>
      <c r="U109" s="229"/>
      <c r="V109" s="50"/>
      <c r="W109" s="54"/>
      <c r="Y109" s="87"/>
      <c r="Z109" s="88"/>
    </row>
    <row r="110" spans="1:69" s="17" customFormat="1" ht="12.75" customHeight="1" outlineLevel="1" x14ac:dyDescent="0.25">
      <c r="A110" s="144">
        <v>2</v>
      </c>
      <c r="B110" s="132" t="s">
        <v>71</v>
      </c>
      <c r="C110" s="65">
        <v>2</v>
      </c>
      <c r="D110" s="65" t="s">
        <v>60</v>
      </c>
      <c r="E110" s="98">
        <f>81*8</f>
        <v>648</v>
      </c>
      <c r="F110" s="172">
        <f>E110*C110*A110</f>
        <v>2592</v>
      </c>
      <c r="G110" s="151"/>
      <c r="H110" s="151"/>
      <c r="K110" s="34"/>
      <c r="L110" s="35"/>
      <c r="M110" s="241"/>
      <c r="N110" s="232"/>
      <c r="O110" s="249"/>
      <c r="P110" s="266"/>
      <c r="Q110" s="249"/>
      <c r="R110" s="272"/>
      <c r="S110" s="229"/>
      <c r="T110" s="229"/>
      <c r="U110" s="229"/>
      <c r="V110" s="50"/>
      <c r="W110" s="54"/>
      <c r="Y110" s="87"/>
      <c r="Z110" s="88"/>
    </row>
    <row r="111" spans="1:69" s="17" customFormat="1" ht="12.75" customHeight="1" outlineLevel="1" x14ac:dyDescent="0.25">
      <c r="A111" s="142"/>
      <c r="B111" s="181"/>
      <c r="C111" s="57"/>
      <c r="D111" s="99" t="s">
        <v>61</v>
      </c>
      <c r="E111" s="102"/>
      <c r="F111" s="182">
        <f>SUM(F110:F110)</f>
        <v>2592</v>
      </c>
      <c r="G111" s="151"/>
      <c r="H111" s="151"/>
      <c r="J111" s="32"/>
      <c r="K111" s="34"/>
      <c r="L111" s="35"/>
      <c r="M111" s="241"/>
      <c r="N111" s="232"/>
      <c r="O111" s="249"/>
      <c r="P111" s="266"/>
      <c r="Q111" s="249"/>
      <c r="R111" s="272"/>
      <c r="S111" s="229"/>
      <c r="T111" s="229"/>
      <c r="U111" s="229"/>
      <c r="V111" s="50"/>
      <c r="W111" s="54"/>
      <c r="Y111" s="87"/>
      <c r="Z111" s="88"/>
    </row>
    <row r="112" spans="1:69" s="17" customFormat="1" ht="12.75" customHeight="1" outlineLevel="1" x14ac:dyDescent="0.25">
      <c r="A112" s="143"/>
      <c r="B112" s="131" t="s">
        <v>87</v>
      </c>
      <c r="C112" s="59" t="s">
        <v>43</v>
      </c>
      <c r="D112" s="59" t="s">
        <v>44</v>
      </c>
      <c r="E112" s="59" t="s">
        <v>45</v>
      </c>
      <c r="F112" s="166" t="s">
        <v>46</v>
      </c>
      <c r="G112" s="151"/>
      <c r="H112" s="151"/>
      <c r="J112" s="17" t="s">
        <v>94</v>
      </c>
      <c r="K112" s="34"/>
      <c r="L112" s="35"/>
      <c r="M112" s="241"/>
      <c r="N112" s="232"/>
      <c r="O112" s="249"/>
      <c r="P112" s="266"/>
      <c r="Q112" s="249"/>
      <c r="R112" s="272"/>
      <c r="S112" s="229"/>
      <c r="T112" s="229"/>
      <c r="U112" s="229"/>
      <c r="V112" s="50"/>
      <c r="W112" s="54"/>
      <c r="Y112" s="87"/>
      <c r="Z112" s="88"/>
    </row>
    <row r="113" spans="1:69" s="17" customFormat="1" ht="12.75" customHeight="1" outlineLevel="1" x14ac:dyDescent="0.25">
      <c r="A113" s="144"/>
      <c r="B113" s="132" t="s">
        <v>90</v>
      </c>
      <c r="C113" s="65">
        <v>1</v>
      </c>
      <c r="D113" s="65" t="s">
        <v>15</v>
      </c>
      <c r="E113" s="98">
        <v>2000</v>
      </c>
      <c r="F113" s="171">
        <f>E113*C113</f>
        <v>2000</v>
      </c>
      <c r="G113" s="223" t="s">
        <v>91</v>
      </c>
      <c r="H113" s="151"/>
      <c r="K113" s="34"/>
      <c r="L113" s="35"/>
      <c r="M113" s="241"/>
      <c r="N113" s="232"/>
      <c r="O113" s="249"/>
      <c r="P113" s="266"/>
      <c r="Q113" s="249"/>
      <c r="R113" s="272"/>
      <c r="S113" s="229"/>
      <c r="T113" s="229"/>
      <c r="U113" s="229"/>
      <c r="V113" s="50"/>
      <c r="W113" s="54"/>
      <c r="Y113" s="87"/>
      <c r="Z113" s="88"/>
    </row>
    <row r="114" spans="1:69" s="17" customFormat="1" ht="12.75" customHeight="1" outlineLevel="1" x14ac:dyDescent="0.25">
      <c r="A114" s="142"/>
      <c r="B114" s="181"/>
      <c r="C114" s="57"/>
      <c r="D114" s="99" t="s">
        <v>88</v>
      </c>
      <c r="E114" s="102"/>
      <c r="F114" s="182">
        <f>SUM(F113:F113)</f>
        <v>2000</v>
      </c>
      <c r="G114" s="151"/>
      <c r="H114" s="151"/>
      <c r="J114" s="32"/>
      <c r="K114" s="34"/>
      <c r="L114" s="35"/>
      <c r="M114" s="241"/>
      <c r="N114" s="232"/>
      <c r="O114" s="249"/>
      <c r="P114" s="266"/>
      <c r="Q114" s="249"/>
      <c r="R114" s="272"/>
      <c r="S114" s="229"/>
      <c r="T114" s="229"/>
      <c r="U114" s="229"/>
      <c r="V114" s="50"/>
      <c r="W114" s="54"/>
      <c r="Y114" s="87"/>
      <c r="Z114" s="88"/>
    </row>
    <row r="115" spans="1:69" s="17" customFormat="1" ht="12.75" customHeight="1" outlineLevel="1" x14ac:dyDescent="0.25">
      <c r="A115" s="142"/>
      <c r="B115" s="181"/>
      <c r="C115" s="57"/>
      <c r="D115" s="99" t="s">
        <v>46</v>
      </c>
      <c r="E115" s="36"/>
      <c r="F115" s="182">
        <f>F111+F114</f>
        <v>4592</v>
      </c>
      <c r="G115" s="151"/>
      <c r="H115" s="151"/>
      <c r="J115" s="32"/>
      <c r="K115" s="34"/>
      <c r="L115" s="35"/>
      <c r="M115" s="241"/>
      <c r="N115" s="232"/>
      <c r="O115" s="249"/>
      <c r="P115" s="266"/>
      <c r="Q115" s="249"/>
      <c r="R115" s="272"/>
      <c r="S115" s="229"/>
      <c r="T115" s="229"/>
      <c r="U115" s="229"/>
      <c r="V115" s="50"/>
      <c r="W115" s="54"/>
      <c r="Y115" s="87"/>
      <c r="Z115" s="88"/>
    </row>
    <row r="116" spans="1:69" s="17" customFormat="1" ht="7.5" customHeight="1" outlineLevel="1" x14ac:dyDescent="0.25">
      <c r="A116" s="142"/>
      <c r="B116" s="180"/>
      <c r="C116" s="33"/>
      <c r="D116" s="33"/>
      <c r="E116" s="33"/>
      <c r="F116" s="165"/>
      <c r="G116" s="151"/>
      <c r="H116" s="151"/>
      <c r="K116" s="34"/>
      <c r="L116" s="35"/>
      <c r="M116" s="241"/>
      <c r="N116" s="232"/>
      <c r="O116" s="249"/>
      <c r="P116" s="266"/>
      <c r="Q116" s="249"/>
      <c r="R116" s="272"/>
      <c r="S116" s="229"/>
      <c r="T116" s="229"/>
      <c r="U116" s="229"/>
      <c r="V116" s="50"/>
      <c r="W116" s="54"/>
      <c r="Y116" s="87"/>
      <c r="Z116" s="88"/>
    </row>
    <row r="117" spans="1:69" s="1" customFormat="1" ht="12.75" customHeight="1" x14ac:dyDescent="0.25">
      <c r="A117" s="141">
        <v>2.2000000000000002</v>
      </c>
      <c r="B117" s="179"/>
      <c r="C117" s="19" t="s">
        <v>206</v>
      </c>
      <c r="D117" s="2"/>
      <c r="E117" s="2"/>
      <c r="F117" s="162"/>
      <c r="G117" s="220"/>
      <c r="H117" s="233"/>
      <c r="I117" s="96"/>
      <c r="J117" s="96"/>
      <c r="K117" s="96"/>
      <c r="L117" s="96"/>
      <c r="M117" s="242"/>
      <c r="N117" s="252"/>
      <c r="O117" s="253"/>
      <c r="P117" s="267"/>
      <c r="Q117" s="253"/>
      <c r="R117" s="274"/>
      <c r="S117" s="276"/>
      <c r="T117" s="276"/>
      <c r="U117" s="276"/>
      <c r="V117" s="47"/>
      <c r="W117" s="3"/>
    </row>
    <row r="118" spans="1:69" s="293" customFormat="1" ht="13.8" customHeight="1" x14ac:dyDescent="0.25">
      <c r="A118" s="324"/>
      <c r="B118" s="325" t="s">
        <v>218</v>
      </c>
      <c r="C118" s="293" t="s">
        <v>219</v>
      </c>
      <c r="F118" s="294"/>
      <c r="G118" s="295">
        <f>1</f>
        <v>1</v>
      </c>
      <c r="H118" s="296" t="s">
        <v>15</v>
      </c>
      <c r="I118" s="297"/>
      <c r="J118" s="297">
        <f>F122</f>
        <v>2216</v>
      </c>
      <c r="K118" s="297">
        <f>F125</f>
        <v>1000</v>
      </c>
      <c r="L118" s="297">
        <f>SUM(I118:K118)</f>
        <v>3216</v>
      </c>
      <c r="M118" s="327">
        <f>ROUNDUP(G118*L118,-1)</f>
        <v>3220</v>
      </c>
      <c r="N118" s="328">
        <f t="shared" ref="N118" si="16">ROUND(M118*0.12,2)</f>
        <v>386.4</v>
      </c>
      <c r="O118" s="329">
        <f t="shared" ref="O118" si="17">ROUND(M118*0.08,2)</f>
        <v>257.60000000000002</v>
      </c>
      <c r="P118" s="330">
        <v>0.25</v>
      </c>
      <c r="Q118" s="329">
        <f>P118*M118</f>
        <v>805</v>
      </c>
      <c r="R118" s="331">
        <f t="shared" ref="R118" si="18">ROUND((M118+Q118)*0.05,2)</f>
        <v>201.25</v>
      </c>
      <c r="S118" s="332">
        <f>R118+Q118</f>
        <v>1006.25</v>
      </c>
      <c r="T118" s="332">
        <f>M118+S118</f>
        <v>4226.25</v>
      </c>
      <c r="U118" s="332">
        <f>T118/G118</f>
        <v>4226.25</v>
      </c>
      <c r="V118" s="47"/>
      <c r="W118" s="3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 spans="1:69" s="17" customFormat="1" ht="12.75" customHeight="1" outlineLevel="1" x14ac:dyDescent="0.25">
      <c r="A119" s="143" t="s">
        <v>47</v>
      </c>
      <c r="B119" s="131" t="s">
        <v>42</v>
      </c>
      <c r="C119" s="60" t="s">
        <v>43</v>
      </c>
      <c r="D119" s="60" t="s">
        <v>44</v>
      </c>
      <c r="E119" s="60" t="s">
        <v>45</v>
      </c>
      <c r="F119" s="183" t="s">
        <v>46</v>
      </c>
      <c r="G119" s="142"/>
      <c r="H119" s="142"/>
      <c r="K119" s="64"/>
      <c r="L119" s="64"/>
      <c r="M119" s="243"/>
      <c r="N119" s="251"/>
      <c r="O119" s="254"/>
      <c r="P119" s="251"/>
      <c r="Q119" s="254"/>
      <c r="R119" s="241"/>
      <c r="S119" s="273"/>
      <c r="T119" s="273"/>
      <c r="U119" s="281"/>
      <c r="V119" s="50"/>
      <c r="W119" s="89"/>
      <c r="Z119" s="87"/>
      <c r="AA119" s="88"/>
    </row>
    <row r="120" spans="1:69" s="17" customFormat="1" ht="12.75" customHeight="1" outlineLevel="1" x14ac:dyDescent="0.25">
      <c r="A120" s="144">
        <v>1</v>
      </c>
      <c r="B120" s="132" t="s">
        <v>89</v>
      </c>
      <c r="C120" s="64">
        <v>1</v>
      </c>
      <c r="D120" s="64" t="s">
        <v>60</v>
      </c>
      <c r="E120" s="101">
        <f>115*8</f>
        <v>920</v>
      </c>
      <c r="F120" s="177">
        <f>E120*C120*A120</f>
        <v>920</v>
      </c>
      <c r="G120" s="142"/>
      <c r="H120" s="142"/>
      <c r="K120" s="34"/>
      <c r="L120" s="34"/>
      <c r="M120" s="241"/>
      <c r="N120" s="251"/>
      <c r="O120" s="254"/>
      <c r="P120" s="251"/>
      <c r="Q120" s="130"/>
      <c r="R120" s="273"/>
      <c r="S120" s="273"/>
      <c r="T120" s="281"/>
      <c r="U120" s="273"/>
      <c r="V120" s="50"/>
      <c r="W120" s="54"/>
      <c r="Y120" s="87"/>
      <c r="Z120" s="94"/>
    </row>
    <row r="121" spans="1:69" s="17" customFormat="1" ht="12.75" customHeight="1" outlineLevel="1" x14ac:dyDescent="0.25">
      <c r="A121" s="144">
        <v>2</v>
      </c>
      <c r="B121" s="132" t="s">
        <v>71</v>
      </c>
      <c r="C121" s="64">
        <v>1</v>
      </c>
      <c r="D121" s="64" t="s">
        <v>60</v>
      </c>
      <c r="E121" s="103">
        <f>81*8</f>
        <v>648</v>
      </c>
      <c r="F121" s="184">
        <f>E121*C121*A121</f>
        <v>1296</v>
      </c>
      <c r="G121" s="142"/>
      <c r="H121" s="142"/>
      <c r="K121" s="32"/>
      <c r="L121" s="32"/>
      <c r="M121" s="243"/>
      <c r="N121" s="251"/>
      <c r="O121" s="254"/>
      <c r="P121" s="251"/>
      <c r="Q121" s="254"/>
      <c r="R121" s="241"/>
      <c r="S121" s="273"/>
      <c r="T121" s="273"/>
      <c r="U121" s="281"/>
      <c r="V121" s="50"/>
      <c r="W121" s="89"/>
      <c r="Z121" s="87"/>
      <c r="AA121" s="88"/>
    </row>
    <row r="122" spans="1:69" s="17" customFormat="1" ht="12.75" customHeight="1" outlineLevel="1" x14ac:dyDescent="0.25">
      <c r="A122" s="142"/>
      <c r="B122" s="128"/>
      <c r="C122" s="75"/>
      <c r="D122" s="104" t="s">
        <v>76</v>
      </c>
      <c r="E122" s="104"/>
      <c r="F122" s="185">
        <f>SUM(F120:F121)</f>
        <v>2216</v>
      </c>
      <c r="G122" s="142"/>
      <c r="H122" s="142"/>
      <c r="K122" s="32"/>
      <c r="L122" s="32"/>
      <c r="M122" s="243"/>
      <c r="N122" s="251"/>
      <c r="O122" s="254"/>
      <c r="P122" s="251"/>
      <c r="Q122" s="254"/>
      <c r="R122" s="241"/>
      <c r="S122" s="273"/>
      <c r="T122" s="273"/>
      <c r="U122" s="281"/>
      <c r="V122" s="50"/>
      <c r="W122" s="89"/>
      <c r="Z122" s="87"/>
      <c r="AA122" s="88"/>
    </row>
    <row r="123" spans="1:69" ht="13.5" customHeight="1" outlineLevel="1" x14ac:dyDescent="0.25">
      <c r="A123" s="145"/>
      <c r="B123" s="131" t="s">
        <v>87</v>
      </c>
      <c r="C123" s="60" t="s">
        <v>43</v>
      </c>
      <c r="D123" s="60" t="s">
        <v>44</v>
      </c>
      <c r="E123" s="60" t="s">
        <v>45</v>
      </c>
      <c r="F123" s="183" t="s">
        <v>46</v>
      </c>
      <c r="G123" s="150"/>
      <c r="H123" s="150"/>
      <c r="J123" s="61"/>
      <c r="K123" s="34"/>
      <c r="L123" s="34"/>
      <c r="M123" s="241"/>
      <c r="N123" s="251"/>
      <c r="O123" s="254"/>
      <c r="P123" s="251"/>
      <c r="Q123" s="129"/>
      <c r="R123" s="273"/>
      <c r="S123" s="273"/>
      <c r="T123" s="281"/>
      <c r="U123" s="273"/>
      <c r="V123" s="50"/>
      <c r="Y123" s="87"/>
      <c r="Z123" s="90"/>
    </row>
    <row r="124" spans="1:69" ht="13.5" customHeight="1" outlineLevel="1" x14ac:dyDescent="0.25">
      <c r="A124" s="145"/>
      <c r="B124" s="167" t="s">
        <v>214</v>
      </c>
      <c r="C124" s="78">
        <v>4</v>
      </c>
      <c r="D124" s="78" t="s">
        <v>207</v>
      </c>
      <c r="E124" s="92">
        <v>2100</v>
      </c>
      <c r="F124" s="177">
        <f>E124*C124</f>
        <v>8400</v>
      </c>
      <c r="G124" s="150"/>
      <c r="H124" s="150"/>
      <c r="J124" s="61"/>
      <c r="K124" s="34"/>
      <c r="L124" s="34"/>
      <c r="M124" s="241"/>
      <c r="N124" s="251"/>
      <c r="O124" s="254"/>
      <c r="P124" s="251"/>
      <c r="Q124" s="129"/>
      <c r="R124" s="273"/>
      <c r="S124" s="273"/>
      <c r="T124" s="281"/>
      <c r="U124" s="273"/>
      <c r="V124" s="50"/>
      <c r="Y124" s="87"/>
      <c r="Z124" s="90"/>
    </row>
    <row r="125" spans="1:69" ht="13.5" customHeight="1" outlineLevel="1" x14ac:dyDescent="0.25">
      <c r="A125" s="145"/>
      <c r="B125" s="167" t="s">
        <v>215</v>
      </c>
      <c r="C125" s="78">
        <v>2</v>
      </c>
      <c r="D125" s="78" t="s">
        <v>208</v>
      </c>
      <c r="E125" s="92">
        <v>500</v>
      </c>
      <c r="F125" s="177">
        <f t="shared" ref="F125:F127" si="19">E125*C125</f>
        <v>1000</v>
      </c>
      <c r="G125" s="150"/>
      <c r="H125" s="150"/>
      <c r="J125" s="61"/>
      <c r="K125" s="34"/>
      <c r="L125" s="34"/>
      <c r="M125" s="241"/>
      <c r="N125" s="251"/>
      <c r="O125" s="254"/>
      <c r="P125" s="251"/>
      <c r="Q125" s="129"/>
      <c r="R125" s="273"/>
      <c r="S125" s="273"/>
      <c r="T125" s="281"/>
      <c r="U125" s="273"/>
      <c r="V125" s="50"/>
      <c r="Y125" s="87"/>
      <c r="Z125" s="90"/>
    </row>
    <row r="126" spans="1:69" ht="13.5" customHeight="1" outlineLevel="1" x14ac:dyDescent="0.25">
      <c r="A126" s="145"/>
      <c r="B126" s="167" t="s">
        <v>216</v>
      </c>
      <c r="C126" s="78">
        <v>2</v>
      </c>
      <c r="D126" s="78" t="s">
        <v>209</v>
      </c>
      <c r="E126" s="92">
        <v>1500</v>
      </c>
      <c r="F126" s="177">
        <f t="shared" si="19"/>
        <v>3000</v>
      </c>
      <c r="G126" s="150"/>
      <c r="H126" s="150"/>
      <c r="J126" s="61"/>
      <c r="K126" s="34"/>
      <c r="L126" s="34"/>
      <c r="M126" s="241"/>
      <c r="N126" s="251"/>
      <c r="O126" s="254"/>
      <c r="P126" s="251"/>
      <c r="Q126" s="129"/>
      <c r="R126" s="273"/>
      <c r="S126" s="273"/>
      <c r="T126" s="281"/>
      <c r="U126" s="273"/>
      <c r="V126" s="50"/>
      <c r="Y126" s="87"/>
      <c r="Z126" s="90"/>
    </row>
    <row r="127" spans="1:69" ht="13.5" customHeight="1" outlineLevel="1" x14ac:dyDescent="0.25">
      <c r="A127" s="145"/>
      <c r="B127" s="167" t="s">
        <v>217</v>
      </c>
      <c r="C127" s="78">
        <v>2</v>
      </c>
      <c r="D127" s="78" t="s">
        <v>209</v>
      </c>
      <c r="E127" s="92">
        <v>500</v>
      </c>
      <c r="F127" s="177">
        <f t="shared" si="19"/>
        <v>1000</v>
      </c>
      <c r="G127" s="150"/>
      <c r="H127" s="150"/>
      <c r="J127" s="61"/>
      <c r="K127" s="34"/>
      <c r="L127" s="34"/>
      <c r="M127" s="241"/>
      <c r="N127" s="251"/>
      <c r="O127" s="254"/>
      <c r="P127" s="251"/>
      <c r="Q127" s="129"/>
      <c r="R127" s="273"/>
      <c r="S127" s="273"/>
      <c r="T127" s="281"/>
      <c r="U127" s="273"/>
      <c r="V127" s="50"/>
      <c r="Y127" s="87"/>
      <c r="Z127" s="90"/>
    </row>
    <row r="128" spans="1:69" ht="12.75" customHeight="1" outlineLevel="1" x14ac:dyDescent="0.25">
      <c r="A128" s="145"/>
      <c r="B128" s="134"/>
      <c r="C128" s="54"/>
      <c r="D128" s="100" t="s">
        <v>88</v>
      </c>
      <c r="E128" s="17"/>
      <c r="F128" s="187">
        <f>SUM(F124:F127)</f>
        <v>13400</v>
      </c>
      <c r="G128" s="150"/>
      <c r="H128" s="150"/>
      <c r="J128" s="61"/>
      <c r="K128" s="34"/>
      <c r="L128" s="34"/>
      <c r="M128" s="241"/>
      <c r="N128" s="251"/>
      <c r="O128" s="254"/>
      <c r="P128" s="251"/>
      <c r="Q128" s="129"/>
      <c r="R128" s="273"/>
      <c r="S128" s="273"/>
      <c r="T128" s="281"/>
      <c r="U128" s="273"/>
      <c r="V128" s="50"/>
      <c r="Y128" s="87"/>
      <c r="Z128" s="90"/>
    </row>
    <row r="129" spans="1:27" ht="12.75" customHeight="1" outlineLevel="1" x14ac:dyDescent="0.25">
      <c r="A129" s="142"/>
      <c r="B129" s="188"/>
      <c r="C129" s="75"/>
      <c r="D129" s="104" t="s">
        <v>46</v>
      </c>
      <c r="E129" s="32"/>
      <c r="F129" s="185">
        <f>F122+F128</f>
        <v>15616</v>
      </c>
      <c r="G129" s="150"/>
      <c r="H129" s="150"/>
      <c r="K129" s="75"/>
      <c r="L129" s="75"/>
      <c r="M129" s="243"/>
      <c r="N129" s="251"/>
      <c r="O129" s="254"/>
      <c r="P129" s="251"/>
      <c r="Q129" s="254"/>
      <c r="R129" s="241"/>
      <c r="S129" s="273"/>
      <c r="T129" s="273"/>
      <c r="U129" s="281"/>
      <c r="V129" s="50"/>
      <c r="W129" s="89"/>
      <c r="Z129" s="87"/>
      <c r="AA129" s="29"/>
    </row>
    <row r="130" spans="1:27" ht="12.75" customHeight="1" outlineLevel="1" x14ac:dyDescent="0.25">
      <c r="A130" s="142"/>
      <c r="B130" s="188"/>
      <c r="C130" s="75"/>
      <c r="D130" s="104"/>
      <c r="E130" s="32"/>
      <c r="F130" s="185"/>
      <c r="G130" s="150"/>
      <c r="H130" s="150"/>
      <c r="K130" s="75"/>
      <c r="L130" s="75"/>
      <c r="M130" s="243"/>
      <c r="N130" s="251"/>
      <c r="O130" s="254"/>
      <c r="P130" s="251"/>
      <c r="Q130" s="254"/>
      <c r="R130" s="241"/>
      <c r="S130" s="273"/>
      <c r="T130" s="273"/>
      <c r="U130" s="281"/>
      <c r="V130" s="50"/>
      <c r="W130" s="89"/>
      <c r="Z130" s="87"/>
      <c r="AA130" s="29"/>
    </row>
    <row r="131" spans="1:27" ht="12.75" customHeight="1" outlineLevel="1" x14ac:dyDescent="0.25">
      <c r="A131" s="142"/>
      <c r="B131" s="499" t="s">
        <v>220</v>
      </c>
      <c r="C131" s="499"/>
      <c r="D131" s="499"/>
      <c r="E131" s="499"/>
      <c r="F131" s="499"/>
      <c r="G131" s="295">
        <f>1</f>
        <v>1</v>
      </c>
      <c r="H131" s="296" t="s">
        <v>15</v>
      </c>
      <c r="I131" s="297"/>
      <c r="J131" s="297" t="str">
        <f>F135</f>
        <v>Total Cost</v>
      </c>
      <c r="K131" s="297">
        <f>F138</f>
        <v>6648</v>
      </c>
      <c r="L131" s="297">
        <f>SUM(I131:K131)</f>
        <v>6648</v>
      </c>
      <c r="M131" s="327">
        <f>ROUNDUP(G131*L131,-1)</f>
        <v>6650</v>
      </c>
      <c r="N131" s="328">
        <f t="shared" ref="N131" si="20">ROUND(M131*0.12,2)</f>
        <v>798</v>
      </c>
      <c r="O131" s="329">
        <f t="shared" ref="O131" si="21">ROUND(M131*0.08,2)</f>
        <v>532</v>
      </c>
      <c r="P131" s="330">
        <v>0.25</v>
      </c>
      <c r="Q131" s="329">
        <f>P131*M131</f>
        <v>1662.5</v>
      </c>
      <c r="R131" s="331">
        <f t="shared" ref="R131" si="22">ROUND((M131+Q131)*0.05,2)</f>
        <v>415.63</v>
      </c>
      <c r="S131" s="332">
        <f>R131+Q131</f>
        <v>2078.13</v>
      </c>
      <c r="T131" s="332">
        <f>M131+S131</f>
        <v>8728.130000000001</v>
      </c>
      <c r="U131" s="332">
        <f>T131/G131</f>
        <v>8728.130000000001</v>
      </c>
      <c r="V131" s="50"/>
      <c r="W131" s="89"/>
      <c r="Z131" s="87"/>
      <c r="AA131" s="29"/>
    </row>
    <row r="132" spans="1:27" ht="12.75" customHeight="1" outlineLevel="1" x14ac:dyDescent="0.25">
      <c r="A132" s="142"/>
      <c r="B132" s="499"/>
      <c r="C132" s="499"/>
      <c r="D132" s="499"/>
      <c r="E132" s="499"/>
      <c r="F132" s="499"/>
      <c r="G132" s="220"/>
      <c r="H132" s="233"/>
      <c r="I132" s="96"/>
      <c r="J132" s="96"/>
      <c r="K132" s="96"/>
      <c r="L132" s="96"/>
      <c r="M132" s="242"/>
      <c r="N132" s="252"/>
      <c r="O132" s="253"/>
      <c r="P132" s="267"/>
      <c r="Q132" s="253"/>
      <c r="R132" s="274"/>
      <c r="S132" s="276"/>
      <c r="T132" s="276"/>
      <c r="U132" s="276"/>
      <c r="V132" s="50"/>
      <c r="W132" s="89"/>
      <c r="Z132" s="87"/>
      <c r="AA132" s="29"/>
    </row>
    <row r="133" spans="1:27" s="1" customFormat="1" ht="12.75" customHeight="1" x14ac:dyDescent="0.25">
      <c r="A133" s="141">
        <v>2.2000000000000002</v>
      </c>
      <c r="B133" s="179"/>
      <c r="C133" s="19" t="s">
        <v>189</v>
      </c>
      <c r="D133" s="2"/>
      <c r="E133" s="2"/>
      <c r="F133" s="162"/>
      <c r="G133" s="220">
        <f>5*3.4*0.01</f>
        <v>0.17</v>
      </c>
      <c r="H133" s="233" t="s">
        <v>211</v>
      </c>
      <c r="I133" s="96">
        <v>0</v>
      </c>
      <c r="J133" s="96">
        <f>F138</f>
        <v>6648</v>
      </c>
      <c r="K133" s="96">
        <f>F141</f>
        <v>664.80000000000007</v>
      </c>
      <c r="L133" s="96">
        <f>SUM(I133:K133)/G133</f>
        <v>43016.470588235294</v>
      </c>
      <c r="M133" s="242">
        <f>650*G133</f>
        <v>110.50000000000001</v>
      </c>
      <c r="N133" s="252">
        <f>ROUND(M133*0.12,2)</f>
        <v>13.26</v>
      </c>
      <c r="O133" s="253">
        <f>ROUND(M133*0.08,2)</f>
        <v>8.84</v>
      </c>
      <c r="P133" s="267">
        <v>0.25</v>
      </c>
      <c r="Q133" s="253">
        <f>P133*M133</f>
        <v>27.625000000000004</v>
      </c>
      <c r="R133" s="274">
        <f>ROUND((M133+Q133)*0.05,2)</f>
        <v>6.91</v>
      </c>
      <c r="S133" s="276">
        <f>R133+Q133</f>
        <v>34.535000000000004</v>
      </c>
      <c r="T133" s="276">
        <f>M133+S133</f>
        <v>145.03500000000003</v>
      </c>
      <c r="U133" s="276">
        <f>T133/G133</f>
        <v>853.14705882352951</v>
      </c>
      <c r="V133" s="47"/>
      <c r="W133" s="3"/>
    </row>
    <row r="134" spans="1:27" ht="12.75" customHeight="1" outlineLevel="1" x14ac:dyDescent="0.25">
      <c r="A134" s="139"/>
      <c r="B134" s="126"/>
      <c r="C134" s="53"/>
      <c r="D134" s="53"/>
      <c r="E134" s="53"/>
      <c r="F134" s="176"/>
      <c r="G134" s="139"/>
      <c r="H134" s="139"/>
      <c r="I134" s="12"/>
      <c r="J134" s="12"/>
      <c r="K134" s="12"/>
      <c r="L134" s="12"/>
      <c r="M134" s="139"/>
      <c r="N134" s="126"/>
      <c r="O134" s="176"/>
      <c r="P134" s="264"/>
      <c r="Q134" s="176"/>
      <c r="R134" s="271"/>
      <c r="S134" s="271"/>
      <c r="T134" s="271"/>
      <c r="U134" s="271"/>
    </row>
    <row r="135" spans="1:27" s="17" customFormat="1" ht="12.75" customHeight="1" outlineLevel="1" x14ac:dyDescent="0.25">
      <c r="A135" s="143" t="s">
        <v>47</v>
      </c>
      <c r="B135" s="131" t="s">
        <v>42</v>
      </c>
      <c r="C135" s="60" t="s">
        <v>43</v>
      </c>
      <c r="D135" s="60" t="s">
        <v>44</v>
      </c>
      <c r="E135" s="60" t="s">
        <v>45</v>
      </c>
      <c r="F135" s="183" t="s">
        <v>46</v>
      </c>
      <c r="G135" s="142"/>
      <c r="H135" s="142"/>
      <c r="K135" s="64"/>
      <c r="L135" s="64"/>
      <c r="M135" s="243"/>
      <c r="N135" s="251"/>
      <c r="O135" s="254"/>
      <c r="P135" s="251"/>
      <c r="Q135" s="254"/>
      <c r="R135" s="241"/>
      <c r="S135" s="273"/>
      <c r="T135" s="273"/>
      <c r="U135" s="281"/>
      <c r="V135" s="50"/>
      <c r="W135" s="89"/>
      <c r="Z135" s="87"/>
      <c r="AA135" s="88"/>
    </row>
    <row r="136" spans="1:27" s="17" customFormat="1" ht="12.75" customHeight="1" outlineLevel="1" x14ac:dyDescent="0.25">
      <c r="A136" s="144">
        <v>1</v>
      </c>
      <c r="B136" s="132" t="s">
        <v>89</v>
      </c>
      <c r="C136" s="64">
        <v>3</v>
      </c>
      <c r="D136" s="64" t="s">
        <v>60</v>
      </c>
      <c r="E136" s="101">
        <f>115*8</f>
        <v>920</v>
      </c>
      <c r="F136" s="177">
        <f>E136*C136*A136</f>
        <v>2760</v>
      </c>
      <c r="G136" s="142"/>
      <c r="H136" s="142"/>
      <c r="K136" s="34"/>
      <c r="L136" s="34"/>
      <c r="M136" s="241"/>
      <c r="N136" s="251"/>
      <c r="O136" s="254"/>
      <c r="P136" s="251"/>
      <c r="Q136" s="130"/>
      <c r="R136" s="273"/>
      <c r="S136" s="273"/>
      <c r="T136" s="281"/>
      <c r="U136" s="273"/>
      <c r="V136" s="50"/>
      <c r="W136" s="54"/>
      <c r="Y136" s="87"/>
      <c r="Z136" s="94"/>
    </row>
    <row r="137" spans="1:27" s="17" customFormat="1" ht="12.75" customHeight="1" outlineLevel="1" x14ac:dyDescent="0.25">
      <c r="A137" s="144">
        <v>2</v>
      </c>
      <c r="B137" s="132" t="s">
        <v>71</v>
      </c>
      <c r="C137" s="64">
        <v>3</v>
      </c>
      <c r="D137" s="64" t="s">
        <v>60</v>
      </c>
      <c r="E137" s="103">
        <f>81*8</f>
        <v>648</v>
      </c>
      <c r="F137" s="184">
        <f>E137*C137*A137</f>
        <v>3888</v>
      </c>
      <c r="G137" s="142"/>
      <c r="H137" s="142"/>
      <c r="K137" s="32"/>
      <c r="L137" s="32"/>
      <c r="M137" s="243"/>
      <c r="N137" s="251"/>
      <c r="O137" s="254"/>
      <c r="P137" s="251"/>
      <c r="Q137" s="254"/>
      <c r="R137" s="241"/>
      <c r="S137" s="273"/>
      <c r="T137" s="273"/>
      <c r="U137" s="281"/>
      <c r="V137" s="50"/>
      <c r="W137" s="89"/>
      <c r="Z137" s="87"/>
      <c r="AA137" s="88"/>
    </row>
    <row r="138" spans="1:27" s="17" customFormat="1" ht="12.75" customHeight="1" outlineLevel="1" x14ac:dyDescent="0.25">
      <c r="A138" s="142"/>
      <c r="B138" s="128"/>
      <c r="C138" s="75"/>
      <c r="D138" s="104" t="s">
        <v>76</v>
      </c>
      <c r="E138" s="104"/>
      <c r="F138" s="185">
        <f>SUM(F136:F137)</f>
        <v>6648</v>
      </c>
      <c r="G138" s="142"/>
      <c r="H138" s="142"/>
      <c r="K138" s="32"/>
      <c r="L138" s="32"/>
      <c r="M138" s="243"/>
      <c r="N138" s="251"/>
      <c r="O138" s="254"/>
      <c r="P138" s="251"/>
      <c r="Q138" s="254"/>
      <c r="R138" s="241"/>
      <c r="S138" s="273"/>
      <c r="T138" s="273"/>
      <c r="U138" s="281"/>
      <c r="V138" s="50"/>
      <c r="W138" s="89"/>
      <c r="Z138" s="87"/>
      <c r="AA138" s="88"/>
    </row>
    <row r="139" spans="1:27" ht="13.5" customHeight="1" outlineLevel="1" x14ac:dyDescent="0.25">
      <c r="A139" s="145"/>
      <c r="B139" s="131" t="s">
        <v>87</v>
      </c>
      <c r="C139" s="60" t="s">
        <v>43</v>
      </c>
      <c r="D139" s="60" t="s">
        <v>44</v>
      </c>
      <c r="E139" s="60" t="s">
        <v>45</v>
      </c>
      <c r="F139" s="183" t="s">
        <v>46</v>
      </c>
      <c r="G139" s="150"/>
      <c r="H139" s="150"/>
      <c r="J139" s="61"/>
      <c r="K139" s="34"/>
      <c r="L139" s="34"/>
      <c r="M139" s="241"/>
      <c r="N139" s="251"/>
      <c r="O139" s="254"/>
      <c r="P139" s="251"/>
      <c r="Q139" s="129"/>
      <c r="R139" s="273"/>
      <c r="S139" s="273"/>
      <c r="T139" s="281"/>
      <c r="U139" s="273"/>
      <c r="V139" s="50"/>
      <c r="Y139" s="87"/>
      <c r="Z139" s="90"/>
    </row>
    <row r="140" spans="1:27" ht="12.75" customHeight="1" outlineLevel="1" x14ac:dyDescent="0.25">
      <c r="A140" s="145"/>
      <c r="B140" s="167" t="s">
        <v>90</v>
      </c>
      <c r="C140" s="78">
        <v>1</v>
      </c>
      <c r="D140" s="78" t="s">
        <v>15</v>
      </c>
      <c r="E140" s="92">
        <f>F138*0.1</f>
        <v>664.80000000000007</v>
      </c>
      <c r="F140" s="186">
        <f t="shared" ref="F140" si="23">E140*C140</f>
        <v>664.80000000000007</v>
      </c>
      <c r="G140" s="226" t="s">
        <v>91</v>
      </c>
      <c r="H140" s="150"/>
      <c r="J140" s="61"/>
      <c r="K140" s="34"/>
      <c r="L140" s="34"/>
      <c r="M140" s="241"/>
      <c r="N140" s="251"/>
      <c r="O140" s="254"/>
      <c r="P140" s="251"/>
      <c r="Q140" s="129"/>
      <c r="R140" s="273"/>
      <c r="S140" s="273"/>
      <c r="T140" s="281"/>
      <c r="U140" s="273"/>
      <c r="V140" s="50"/>
      <c r="Y140" s="87"/>
      <c r="Z140" s="90"/>
    </row>
    <row r="141" spans="1:27" ht="12.75" customHeight="1" outlineLevel="1" x14ac:dyDescent="0.25">
      <c r="A141" s="145"/>
      <c r="B141" s="134"/>
      <c r="C141" s="54"/>
      <c r="D141" s="100" t="s">
        <v>88</v>
      </c>
      <c r="E141" s="17"/>
      <c r="F141" s="187">
        <f>F140</f>
        <v>664.80000000000007</v>
      </c>
      <c r="G141" s="150"/>
      <c r="H141" s="150"/>
      <c r="J141" s="61"/>
      <c r="K141" s="34"/>
      <c r="L141" s="34"/>
      <c r="M141" s="241"/>
      <c r="N141" s="251"/>
      <c r="O141" s="254"/>
      <c r="P141" s="251"/>
      <c r="Q141" s="129"/>
      <c r="R141" s="273"/>
      <c r="S141" s="273"/>
      <c r="T141" s="281"/>
      <c r="U141" s="273"/>
      <c r="V141" s="50"/>
      <c r="Y141" s="87"/>
      <c r="Z141" s="90"/>
    </row>
    <row r="142" spans="1:27" ht="12.75" customHeight="1" outlineLevel="1" x14ac:dyDescent="0.25">
      <c r="A142" s="142"/>
      <c r="B142" s="188"/>
      <c r="C142" s="75"/>
      <c r="D142" s="104" t="s">
        <v>46</v>
      </c>
      <c r="E142" s="32"/>
      <c r="F142" s="185">
        <f>F138++F140</f>
        <v>7312.8</v>
      </c>
      <c r="G142" s="150"/>
      <c r="H142" s="150"/>
      <c r="K142" s="75"/>
      <c r="L142" s="75"/>
      <c r="M142" s="243"/>
      <c r="N142" s="251"/>
      <c r="O142" s="254"/>
      <c r="P142" s="251"/>
      <c r="Q142" s="254"/>
      <c r="R142" s="241"/>
      <c r="S142" s="273"/>
      <c r="T142" s="273"/>
      <c r="U142" s="281"/>
      <c r="V142" s="50"/>
      <c r="W142" s="89"/>
      <c r="Z142" s="87"/>
      <c r="AA142" s="29"/>
    </row>
    <row r="143" spans="1:27" ht="7.5" customHeight="1" x14ac:dyDescent="0.25">
      <c r="A143" s="139"/>
      <c r="B143" s="126"/>
      <c r="C143" s="53"/>
      <c r="D143" s="53"/>
      <c r="E143" s="53"/>
      <c r="F143" s="176"/>
      <c r="G143" s="139"/>
      <c r="H143" s="139"/>
      <c r="I143" s="12"/>
      <c r="J143" s="12"/>
      <c r="K143" s="12"/>
      <c r="L143" s="12"/>
      <c r="M143" s="139"/>
      <c r="N143" s="126"/>
      <c r="O143" s="176"/>
      <c r="P143" s="264"/>
      <c r="Q143" s="176"/>
      <c r="R143" s="271"/>
      <c r="S143" s="271"/>
      <c r="T143" s="271"/>
      <c r="U143" s="271"/>
    </row>
    <row r="144" spans="1:27" s="1" customFormat="1" x14ac:dyDescent="0.25">
      <c r="A144" s="149"/>
      <c r="B144" s="189"/>
      <c r="C144" s="40"/>
      <c r="D144" s="44"/>
      <c r="E144" s="44"/>
      <c r="F144" s="190"/>
      <c r="G144" s="227"/>
      <c r="H144" s="238"/>
      <c r="I144" s="85"/>
      <c r="J144" s="85"/>
      <c r="K144" s="85"/>
      <c r="L144" s="85"/>
      <c r="M144" s="245"/>
      <c r="N144" s="257"/>
      <c r="O144" s="258"/>
      <c r="P144" s="269"/>
      <c r="Q144" s="258"/>
      <c r="R144" s="277"/>
      <c r="S144" s="280" t="s">
        <v>17</v>
      </c>
      <c r="T144" s="287">
        <f>SUM(T96:T143)</f>
        <v>19136.915000000001</v>
      </c>
      <c r="U144" s="441"/>
      <c r="V144" s="47"/>
      <c r="W144" s="3"/>
    </row>
    <row r="145" spans="1:69" x14ac:dyDescent="0.25">
      <c r="A145" s="139"/>
      <c r="B145" s="126"/>
      <c r="C145" s="481"/>
      <c r="D145" s="481"/>
      <c r="E145" s="481"/>
      <c r="F145" s="160"/>
      <c r="G145" s="139"/>
      <c r="H145" s="139"/>
      <c r="I145" s="12"/>
      <c r="J145" s="12"/>
      <c r="K145" s="12"/>
      <c r="L145" s="12"/>
      <c r="M145" s="139"/>
      <c r="N145" s="126"/>
      <c r="O145" s="176"/>
      <c r="P145" s="264"/>
      <c r="Q145" s="176"/>
      <c r="R145" s="271"/>
      <c r="S145" s="271"/>
      <c r="T145" s="271"/>
      <c r="U145" s="271"/>
    </row>
    <row r="146" spans="1:69" x14ac:dyDescent="0.25">
      <c r="A146" s="139"/>
      <c r="B146" s="126"/>
      <c r="C146" s="53"/>
      <c r="D146" s="53"/>
      <c r="E146" s="53"/>
      <c r="F146" s="176"/>
      <c r="G146" s="139"/>
      <c r="H146" s="139"/>
      <c r="I146" s="12"/>
      <c r="J146" s="12"/>
      <c r="K146" s="12"/>
      <c r="L146" s="12"/>
      <c r="M146" s="139"/>
      <c r="N146" s="126"/>
      <c r="O146" s="176"/>
      <c r="P146" s="264"/>
      <c r="Q146" s="176"/>
      <c r="R146" s="271"/>
      <c r="S146" s="271"/>
      <c r="T146" s="271"/>
      <c r="U146" s="271"/>
    </row>
    <row r="147" spans="1:69" s="343" customFormat="1" ht="12.75" customHeight="1" x14ac:dyDescent="0.25">
      <c r="A147" s="334">
        <v>3</v>
      </c>
      <c r="B147" s="335" t="s">
        <v>200</v>
      </c>
      <c r="C147" s="336"/>
      <c r="D147" s="336"/>
      <c r="E147" s="336"/>
      <c r="F147" s="337"/>
      <c r="G147" s="346"/>
      <c r="H147" s="347"/>
      <c r="I147" s="298"/>
      <c r="J147" s="298"/>
      <c r="K147" s="298"/>
      <c r="L147" s="298"/>
      <c r="M147" s="300"/>
      <c r="N147" s="323"/>
      <c r="O147" s="302"/>
      <c r="P147" s="348"/>
      <c r="Q147" s="302"/>
      <c r="R147" s="305"/>
      <c r="S147" s="351"/>
      <c r="T147" s="352"/>
      <c r="U147" s="442"/>
      <c r="V147" s="47"/>
      <c r="W147" s="7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</row>
    <row r="148" spans="1:69" s="293" customFormat="1" ht="12.75" customHeight="1" x14ac:dyDescent="0.25">
      <c r="A148" s="290">
        <v>3.1</v>
      </c>
      <c r="B148" s="333"/>
      <c r="C148" s="292" t="s">
        <v>179</v>
      </c>
      <c r="D148" s="292"/>
      <c r="E148" s="361"/>
      <c r="F148" s="344"/>
      <c r="G148" s="295">
        <v>1</v>
      </c>
      <c r="H148" s="296" t="s">
        <v>15</v>
      </c>
      <c r="I148" s="297">
        <f>F176</f>
        <v>124916</v>
      </c>
      <c r="J148" s="297">
        <f>F182</f>
        <v>43720.6</v>
      </c>
      <c r="K148" s="297">
        <f>F185</f>
        <v>4372.0600000000004</v>
      </c>
      <c r="L148" s="297">
        <f>SUM(I148:K148)/G148</f>
        <v>173008.66</v>
      </c>
      <c r="M148" s="327">
        <f>ROUNDUP(G148*L148,0)</f>
        <v>173009</v>
      </c>
      <c r="N148" s="328">
        <f>ROUND(M148*0.12,2)</f>
        <v>20761.080000000002</v>
      </c>
      <c r="O148" s="329">
        <f>ROUND(M148*0.08,2)</f>
        <v>13840.72</v>
      </c>
      <c r="P148" s="330">
        <v>0.25</v>
      </c>
      <c r="Q148" s="329">
        <f>P148*M148</f>
        <v>43252.25</v>
      </c>
      <c r="R148" s="331">
        <f>ROUND((M148+Q148)*0.05,2)</f>
        <v>10813.06</v>
      </c>
      <c r="S148" s="332">
        <f>R148+Q148</f>
        <v>54065.31</v>
      </c>
      <c r="T148" s="332">
        <f>M148+S148</f>
        <v>227074.31</v>
      </c>
      <c r="U148" s="332">
        <f>T148/G148</f>
        <v>227074.31</v>
      </c>
      <c r="V148" s="47"/>
      <c r="W148" s="3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</row>
    <row r="149" spans="1:69" s="293" customFormat="1" ht="12.75" customHeight="1" x14ac:dyDescent="0.25">
      <c r="A149" s="290"/>
      <c r="B149" s="333"/>
      <c r="C149" s="293" t="s">
        <v>187</v>
      </c>
      <c r="D149" s="292"/>
      <c r="E149" s="361"/>
      <c r="F149" s="344"/>
      <c r="G149" s="295"/>
      <c r="H149" s="296"/>
      <c r="I149" s="297"/>
      <c r="J149" s="297"/>
      <c r="K149" s="297"/>
      <c r="L149" s="297"/>
      <c r="M149" s="327"/>
      <c r="N149" s="328"/>
      <c r="O149" s="329"/>
      <c r="P149" s="330"/>
      <c r="Q149" s="329"/>
      <c r="R149" s="331"/>
      <c r="S149" s="332"/>
      <c r="T149" s="332"/>
      <c r="U149" s="332"/>
      <c r="V149" s="47"/>
      <c r="W149" s="3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</row>
    <row r="150" spans="1:69" s="293" customFormat="1" ht="12.75" customHeight="1" x14ac:dyDescent="0.25">
      <c r="A150" s="290"/>
      <c r="B150" s="333"/>
      <c r="C150" s="293" t="s">
        <v>203</v>
      </c>
      <c r="D150" s="292"/>
      <c r="E150" s="361"/>
      <c r="F150" s="344"/>
      <c r="G150" s="295"/>
      <c r="H150" s="296"/>
      <c r="I150" s="297"/>
      <c r="J150" s="297"/>
      <c r="K150" s="297"/>
      <c r="L150" s="297"/>
      <c r="M150" s="327"/>
      <c r="N150" s="328"/>
      <c r="O150" s="329"/>
      <c r="P150" s="330"/>
      <c r="Q150" s="329"/>
      <c r="R150" s="331"/>
      <c r="S150" s="332"/>
      <c r="T150" s="332"/>
      <c r="U150" s="332"/>
      <c r="V150" s="47"/>
      <c r="W150" s="3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</row>
    <row r="151" spans="1:69" s="293" customFormat="1" ht="12.75" customHeight="1" x14ac:dyDescent="0.25">
      <c r="A151" s="290"/>
      <c r="B151" s="333"/>
      <c r="C151" s="293" t="s">
        <v>188</v>
      </c>
      <c r="D151" s="292"/>
      <c r="E151" s="361"/>
      <c r="F151" s="344"/>
      <c r="G151" s="295"/>
      <c r="H151" s="296"/>
      <c r="I151" s="297"/>
      <c r="J151" s="297"/>
      <c r="K151" s="297"/>
      <c r="L151" s="297"/>
      <c r="M151" s="327"/>
      <c r="N151" s="328"/>
      <c r="O151" s="329"/>
      <c r="P151" s="330"/>
      <c r="Q151" s="329"/>
      <c r="R151" s="331"/>
      <c r="S151" s="332"/>
      <c r="T151" s="332"/>
      <c r="U151" s="332"/>
      <c r="V151" s="47"/>
      <c r="W151" s="3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</row>
    <row r="152" spans="1:69" s="293" customFormat="1" ht="12.75" customHeight="1" x14ac:dyDescent="0.25">
      <c r="A152" s="290"/>
      <c r="B152" s="333"/>
      <c r="C152" s="293" t="s">
        <v>201</v>
      </c>
      <c r="D152" s="292"/>
      <c r="E152" s="361"/>
      <c r="F152" s="344"/>
      <c r="G152" s="295"/>
      <c r="H152" s="296"/>
      <c r="I152" s="297"/>
      <c r="J152" s="297"/>
      <c r="K152" s="297"/>
      <c r="L152" s="297"/>
      <c r="M152" s="327"/>
      <c r="N152" s="328"/>
      <c r="O152" s="329"/>
      <c r="P152" s="330"/>
      <c r="Q152" s="329"/>
      <c r="R152" s="331"/>
      <c r="S152" s="332"/>
      <c r="T152" s="332"/>
      <c r="U152" s="332"/>
      <c r="V152" s="47"/>
      <c r="W152" s="3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</row>
    <row r="153" spans="1:69" s="83" customFormat="1" ht="12.75" customHeight="1" outlineLevel="1" x14ac:dyDescent="0.25">
      <c r="A153" s="157"/>
      <c r="B153" s="128"/>
      <c r="C153" s="79"/>
      <c r="D153" s="39"/>
      <c r="E153" s="79"/>
      <c r="F153" s="208"/>
      <c r="G153" s="156"/>
      <c r="H153" s="156"/>
      <c r="I153" s="37"/>
      <c r="J153" s="17"/>
      <c r="K153" s="38"/>
      <c r="L153" s="39"/>
      <c r="M153" s="248"/>
      <c r="N153" s="260"/>
      <c r="O153" s="261"/>
      <c r="P153" s="209"/>
      <c r="Q153" s="164"/>
      <c r="R153" s="239"/>
      <c r="S153" s="239"/>
      <c r="T153" s="288"/>
      <c r="U153" s="239"/>
      <c r="V153" s="115"/>
      <c r="W153" s="82"/>
      <c r="Y153" s="116"/>
      <c r="Z153" s="117"/>
    </row>
    <row r="154" spans="1:69" s="83" customFormat="1" ht="12.75" customHeight="1" outlineLevel="1" x14ac:dyDescent="0.25">
      <c r="A154" s="157"/>
      <c r="B154" s="128" t="s">
        <v>187</v>
      </c>
      <c r="C154" s="32"/>
      <c r="D154" s="39"/>
      <c r="E154" s="79"/>
      <c r="F154" s="208"/>
      <c r="G154" s="156"/>
      <c r="H154" s="156"/>
      <c r="I154" s="37"/>
      <c r="J154" s="17"/>
      <c r="K154" s="38"/>
      <c r="L154" s="39"/>
      <c r="M154" s="248"/>
      <c r="N154" s="260"/>
      <c r="O154" s="261"/>
      <c r="P154" s="209"/>
      <c r="Q154" s="164"/>
      <c r="R154" s="239"/>
      <c r="S154" s="239"/>
      <c r="T154" s="288"/>
      <c r="U154" s="239"/>
      <c r="V154" s="115"/>
      <c r="W154" s="82"/>
      <c r="Y154" s="116"/>
      <c r="Z154" s="117"/>
    </row>
    <row r="155" spans="1:69" s="83" customFormat="1" ht="12.75" customHeight="1" outlineLevel="1" x14ac:dyDescent="0.25">
      <c r="A155" s="157"/>
      <c r="B155" s="128"/>
      <c r="C155" s="80" t="s">
        <v>77</v>
      </c>
      <c r="D155" s="39">
        <f>17.35+27.3</f>
        <v>44.650000000000006</v>
      </c>
      <c r="E155" s="79" t="s">
        <v>81</v>
      </c>
      <c r="F155" s="208"/>
      <c r="G155" s="156"/>
      <c r="H155" s="156"/>
      <c r="I155" s="37"/>
      <c r="J155" s="17"/>
      <c r="K155" s="38"/>
      <c r="L155" s="39"/>
      <c r="M155" s="248"/>
      <c r="N155" s="260"/>
      <c r="O155" s="261"/>
      <c r="P155" s="209"/>
      <c r="Q155" s="164"/>
      <c r="R155" s="239"/>
      <c r="S155" s="239"/>
      <c r="T155" s="288"/>
      <c r="U155" s="239"/>
      <c r="V155" s="115"/>
      <c r="W155" s="82"/>
      <c r="Y155" s="116"/>
      <c r="Z155" s="117"/>
    </row>
    <row r="156" spans="1:69" s="83" customFormat="1" ht="12.75" customHeight="1" outlineLevel="1" x14ac:dyDescent="0.25">
      <c r="A156" s="157"/>
      <c r="B156" s="128"/>
      <c r="C156" s="80" t="s">
        <v>43</v>
      </c>
      <c r="D156" s="39">
        <v>13</v>
      </c>
      <c r="E156" s="79" t="s">
        <v>65</v>
      </c>
      <c r="F156" s="208"/>
      <c r="G156" s="156"/>
      <c r="H156" s="156"/>
      <c r="I156" s="37"/>
      <c r="J156" s="17"/>
      <c r="K156" s="38"/>
      <c r="L156" s="39"/>
      <c r="M156" s="248"/>
      <c r="N156" s="260"/>
      <c r="O156" s="261"/>
      <c r="P156" s="209"/>
      <c r="Q156" s="164"/>
      <c r="R156" s="239"/>
      <c r="S156" s="239"/>
      <c r="T156" s="288"/>
      <c r="U156" s="239"/>
      <c r="V156" s="115"/>
      <c r="W156" s="82"/>
      <c r="Y156" s="116"/>
      <c r="Z156" s="117"/>
    </row>
    <row r="157" spans="1:69" s="83" customFormat="1" ht="12.75" customHeight="1" outlineLevel="1" x14ac:dyDescent="0.25">
      <c r="A157" s="157"/>
      <c r="B157" s="128"/>
      <c r="C157" s="80"/>
      <c r="D157" s="105"/>
      <c r="E157" s="79"/>
      <c r="F157" s="208"/>
      <c r="G157" s="156"/>
      <c r="H157" s="156"/>
      <c r="I157" s="37"/>
      <c r="J157" s="17"/>
      <c r="K157" s="38"/>
      <c r="L157" s="39"/>
      <c r="M157" s="248"/>
      <c r="N157" s="260"/>
      <c r="O157" s="261"/>
      <c r="P157" s="209"/>
      <c r="Q157" s="164"/>
      <c r="R157" s="239"/>
      <c r="S157" s="239"/>
      <c r="T157" s="288"/>
      <c r="U157" s="239"/>
      <c r="V157" s="115"/>
      <c r="W157" s="82"/>
      <c r="Y157" s="116"/>
      <c r="Z157" s="117"/>
    </row>
    <row r="158" spans="1:69" s="83" customFormat="1" ht="12.75" customHeight="1" outlineLevel="1" x14ac:dyDescent="0.25">
      <c r="A158" s="157"/>
      <c r="B158" s="128" t="s">
        <v>203</v>
      </c>
      <c r="C158" s="32"/>
      <c r="D158" s="39"/>
      <c r="E158" s="79"/>
      <c r="F158" s="208"/>
      <c r="G158" s="156"/>
      <c r="H158" s="156"/>
      <c r="I158" s="37"/>
      <c r="J158" s="17"/>
      <c r="K158" s="38"/>
      <c r="L158" s="39"/>
      <c r="M158" s="248"/>
      <c r="N158" s="260"/>
      <c r="O158" s="261"/>
      <c r="P158" s="209"/>
      <c r="Q158" s="164"/>
      <c r="R158" s="239"/>
      <c r="S158" s="239"/>
      <c r="T158" s="288"/>
      <c r="U158" s="239"/>
      <c r="V158" s="115"/>
      <c r="W158" s="82"/>
      <c r="Y158" s="116"/>
      <c r="Z158" s="117"/>
    </row>
    <row r="159" spans="1:69" s="83" customFormat="1" ht="12.75" customHeight="1" outlineLevel="1" x14ac:dyDescent="0.25">
      <c r="A159" s="157"/>
      <c r="B159" s="128"/>
      <c r="C159" s="80" t="s">
        <v>77</v>
      </c>
      <c r="D159" s="39">
        <v>6</v>
      </c>
      <c r="E159" s="79" t="s">
        <v>81</v>
      </c>
      <c r="F159" s="208"/>
      <c r="G159" s="156"/>
      <c r="H159" s="156"/>
      <c r="I159" s="37"/>
      <c r="J159" s="17"/>
      <c r="K159" s="38"/>
      <c r="L159" s="39"/>
      <c r="M159" s="248"/>
      <c r="N159" s="260"/>
      <c r="O159" s="261"/>
      <c r="P159" s="209"/>
      <c r="Q159" s="164"/>
      <c r="R159" s="239"/>
      <c r="S159" s="239"/>
      <c r="T159" s="288"/>
      <c r="U159" s="239"/>
      <c r="V159" s="115"/>
      <c r="W159" s="82"/>
      <c r="Y159" s="116"/>
      <c r="Z159" s="117"/>
    </row>
    <row r="160" spans="1:69" s="83" customFormat="1" ht="12.75" customHeight="1" outlineLevel="1" x14ac:dyDescent="0.25">
      <c r="A160" s="157"/>
      <c r="B160" s="128"/>
      <c r="C160" s="80" t="s">
        <v>43</v>
      </c>
      <c r="D160" s="39">
        <v>35</v>
      </c>
      <c r="E160" s="79" t="s">
        <v>81</v>
      </c>
      <c r="F160" s="208"/>
      <c r="G160" s="156"/>
      <c r="H160" s="156"/>
      <c r="I160" s="37"/>
      <c r="J160" s="17"/>
      <c r="K160" s="38"/>
      <c r="L160" s="39"/>
      <c r="M160" s="248"/>
      <c r="N160" s="260"/>
      <c r="O160" s="261"/>
      <c r="P160" s="209"/>
      <c r="Q160" s="164"/>
      <c r="R160" s="239"/>
      <c r="S160" s="239"/>
      <c r="T160" s="288"/>
      <c r="U160" s="239"/>
      <c r="V160" s="115"/>
      <c r="W160" s="82"/>
      <c r="Y160" s="116"/>
      <c r="Z160" s="117"/>
    </row>
    <row r="161" spans="1:26" s="83" customFormat="1" ht="12.75" customHeight="1" outlineLevel="1" x14ac:dyDescent="0.25">
      <c r="A161" s="157"/>
      <c r="B161" s="128"/>
      <c r="C161" s="80" t="s">
        <v>205</v>
      </c>
      <c r="D161" s="39">
        <f>87.5</f>
        <v>87.5</v>
      </c>
      <c r="E161" s="79" t="s">
        <v>81</v>
      </c>
      <c r="F161" s="208"/>
      <c r="G161" s="156"/>
      <c r="H161" s="156"/>
      <c r="I161" s="37"/>
      <c r="J161" s="17"/>
      <c r="K161" s="38"/>
      <c r="L161" s="39"/>
      <c r="M161" s="248"/>
      <c r="N161" s="260"/>
      <c r="O161" s="261"/>
      <c r="P161" s="209"/>
      <c r="Q161" s="164"/>
      <c r="R161" s="239"/>
      <c r="S161" s="239"/>
      <c r="T161" s="288"/>
      <c r="U161" s="239"/>
      <c r="V161" s="115"/>
      <c r="W161" s="82"/>
      <c r="Y161" s="116"/>
      <c r="Z161" s="117"/>
    </row>
    <row r="162" spans="1:26" s="83" customFormat="1" ht="12.75" customHeight="1" outlineLevel="1" x14ac:dyDescent="0.25">
      <c r="A162" s="157"/>
      <c r="B162" s="128"/>
      <c r="C162" s="80"/>
      <c r="D162" s="39"/>
      <c r="E162" s="79"/>
      <c r="F162" s="208"/>
      <c r="G162" s="156"/>
      <c r="H162" s="156"/>
      <c r="I162" s="37"/>
      <c r="J162" s="17"/>
      <c r="K162" s="38"/>
      <c r="L162" s="39"/>
      <c r="M162" s="248"/>
      <c r="N162" s="260"/>
      <c r="O162" s="261"/>
      <c r="P162" s="209"/>
      <c r="Q162" s="164"/>
      <c r="R162" s="239"/>
      <c r="S162" s="239"/>
      <c r="T162" s="288"/>
      <c r="U162" s="239"/>
      <c r="V162" s="115"/>
      <c r="W162" s="82"/>
      <c r="Y162" s="116"/>
      <c r="Z162" s="117"/>
    </row>
    <row r="163" spans="1:26" s="83" customFormat="1" ht="12.75" customHeight="1" outlineLevel="1" x14ac:dyDescent="0.25">
      <c r="A163" s="157"/>
      <c r="B163" s="128"/>
      <c r="C163" s="80"/>
      <c r="D163" s="39"/>
      <c r="E163" s="79"/>
      <c r="F163" s="207"/>
      <c r="G163" s="156"/>
      <c r="H163" s="156"/>
      <c r="I163" s="37"/>
      <c r="J163" s="17"/>
      <c r="K163" s="38"/>
      <c r="L163" s="39"/>
      <c r="M163" s="248"/>
      <c r="N163" s="260"/>
      <c r="O163" s="261"/>
      <c r="P163" s="209"/>
      <c r="Q163" s="164"/>
      <c r="R163" s="239"/>
      <c r="S163" s="239"/>
      <c r="T163" s="288"/>
      <c r="U163" s="239"/>
      <c r="V163" s="115"/>
      <c r="W163" s="82"/>
      <c r="Y163" s="116"/>
      <c r="Z163" s="117"/>
    </row>
    <row r="164" spans="1:26" s="83" customFormat="1" ht="12.75" customHeight="1" outlineLevel="1" x14ac:dyDescent="0.25">
      <c r="A164" s="157"/>
      <c r="B164" s="128" t="s">
        <v>188</v>
      </c>
      <c r="C164" s="32"/>
      <c r="D164" s="39"/>
      <c r="E164" s="79"/>
      <c r="F164" s="208"/>
      <c r="G164" s="156"/>
      <c r="H164" s="156"/>
      <c r="I164" s="37"/>
      <c r="J164" s="17"/>
      <c r="K164" s="38"/>
      <c r="L164" s="39"/>
      <c r="M164" s="248"/>
      <c r="N164" s="260"/>
      <c r="O164" s="261"/>
      <c r="P164" s="209"/>
      <c r="Q164" s="164"/>
      <c r="R164" s="239"/>
      <c r="S164" s="239"/>
      <c r="T164" s="288"/>
      <c r="U164" s="239"/>
      <c r="V164" s="115"/>
      <c r="W164" s="82"/>
      <c r="Y164" s="116"/>
      <c r="Z164" s="117"/>
    </row>
    <row r="165" spans="1:26" s="83" customFormat="1" ht="12.75" customHeight="1" outlineLevel="1" x14ac:dyDescent="0.25">
      <c r="A165" s="157"/>
      <c r="B165" s="128"/>
      <c r="C165" s="80" t="s">
        <v>77</v>
      </c>
      <c r="D165" s="39">
        <f>12.35+22.35+42.78</f>
        <v>77.48</v>
      </c>
      <c r="E165" s="79" t="s">
        <v>81</v>
      </c>
      <c r="F165" s="208"/>
      <c r="G165" s="156"/>
      <c r="H165" s="156"/>
      <c r="I165" s="37"/>
      <c r="J165" s="17"/>
      <c r="K165" s="38"/>
      <c r="L165" s="39"/>
      <c r="M165" s="248"/>
      <c r="N165" s="260"/>
      <c r="O165" s="261"/>
      <c r="P165" s="209"/>
      <c r="Q165" s="164"/>
      <c r="R165" s="239"/>
      <c r="S165" s="239"/>
      <c r="T165" s="288"/>
      <c r="U165" s="239"/>
      <c r="V165" s="115"/>
      <c r="W165" s="82"/>
      <c r="Y165" s="116"/>
      <c r="Z165" s="117"/>
    </row>
    <row r="166" spans="1:26" s="83" customFormat="1" ht="7.5" customHeight="1" outlineLevel="1" x14ac:dyDescent="0.25">
      <c r="A166" s="157"/>
      <c r="B166" s="128"/>
      <c r="C166" s="80" t="s">
        <v>43</v>
      </c>
      <c r="D166" s="39">
        <v>1</v>
      </c>
      <c r="E166" s="79" t="s">
        <v>81</v>
      </c>
      <c r="F166" s="208"/>
      <c r="G166" s="156"/>
      <c r="H166" s="156"/>
      <c r="I166" s="37"/>
      <c r="J166" s="17"/>
      <c r="K166" s="38"/>
      <c r="L166" s="39"/>
      <c r="M166" s="248"/>
      <c r="N166" s="260"/>
      <c r="O166" s="261"/>
      <c r="P166" s="209"/>
      <c r="Q166" s="164"/>
      <c r="R166" s="239"/>
      <c r="S166" s="239"/>
      <c r="T166" s="288"/>
      <c r="U166" s="239"/>
      <c r="V166" s="115"/>
      <c r="W166" s="82"/>
      <c r="Y166" s="116"/>
      <c r="Z166" s="117"/>
    </row>
    <row r="167" spans="1:26" s="83" customFormat="1" ht="12.75" customHeight="1" outlineLevel="1" x14ac:dyDescent="0.25">
      <c r="A167" s="157"/>
      <c r="B167" s="128"/>
      <c r="C167" s="80"/>
      <c r="D167" s="39"/>
      <c r="E167" s="79"/>
      <c r="F167" s="207"/>
      <c r="G167" s="156"/>
      <c r="H167" s="156"/>
      <c r="I167" s="37"/>
      <c r="J167" s="17"/>
      <c r="K167" s="38"/>
      <c r="L167" s="39"/>
      <c r="M167" s="248"/>
      <c r="N167" s="260"/>
      <c r="O167" s="261"/>
      <c r="P167" s="209"/>
      <c r="Q167" s="164"/>
      <c r="R167" s="239"/>
      <c r="S167" s="239"/>
      <c r="T167" s="288"/>
      <c r="U167" s="239"/>
      <c r="V167" s="115"/>
      <c r="W167" s="82"/>
      <c r="Y167" s="116"/>
      <c r="Z167" s="117"/>
    </row>
    <row r="168" spans="1:26" s="83" customFormat="1" ht="12.75" customHeight="1" outlineLevel="1" x14ac:dyDescent="0.25">
      <c r="A168" s="157"/>
      <c r="B168" s="128"/>
      <c r="C168" s="80"/>
      <c r="D168" s="39"/>
      <c r="E168" s="79"/>
      <c r="F168" s="207"/>
      <c r="G168" s="156"/>
      <c r="H168" s="156"/>
      <c r="I168" s="37"/>
      <c r="J168" s="17"/>
      <c r="K168" s="38"/>
      <c r="L168" s="39"/>
      <c r="M168" s="248"/>
      <c r="N168" s="260"/>
      <c r="O168" s="261"/>
      <c r="P168" s="209"/>
      <c r="Q168" s="164"/>
      <c r="R168" s="239"/>
      <c r="S168" s="239"/>
      <c r="T168" s="288"/>
      <c r="U168" s="239"/>
      <c r="V168" s="115"/>
      <c r="W168" s="82"/>
      <c r="Y168" s="116"/>
      <c r="Z168" s="117"/>
    </row>
    <row r="169" spans="1:26" s="83" customFormat="1" ht="12.75" customHeight="1" outlineLevel="1" x14ac:dyDescent="0.25">
      <c r="A169" s="155"/>
      <c r="B169" s="469" t="s">
        <v>41</v>
      </c>
      <c r="C169" s="108" t="s">
        <v>43</v>
      </c>
      <c r="D169" s="108" t="s">
        <v>44</v>
      </c>
      <c r="E169" s="108" t="s">
        <v>45</v>
      </c>
      <c r="F169" s="197" t="s">
        <v>46</v>
      </c>
      <c r="G169" s="156"/>
      <c r="H169" s="156"/>
      <c r="I169" s="6"/>
      <c r="J169" s="61"/>
      <c r="K169" s="38"/>
      <c r="L169" s="39"/>
      <c r="M169" s="248"/>
      <c r="N169" s="260"/>
      <c r="O169" s="261"/>
      <c r="P169" s="209"/>
      <c r="Q169" s="164"/>
      <c r="R169" s="239"/>
      <c r="S169" s="239"/>
      <c r="T169" s="288"/>
      <c r="U169" s="239"/>
      <c r="V169" s="115"/>
      <c r="W169" s="82"/>
      <c r="Y169" s="116"/>
      <c r="Z169" s="117"/>
    </row>
    <row r="170" spans="1:26" s="83" customFormat="1" ht="12.75" customHeight="1" outlineLevel="1" x14ac:dyDescent="0.25">
      <c r="A170" s="155"/>
      <c r="B170" s="470" t="s">
        <v>187</v>
      </c>
      <c r="C170" s="106">
        <f>ROUNDUP((D155*D156)/6,0)</f>
        <v>97</v>
      </c>
      <c r="D170" s="106" t="s">
        <v>85</v>
      </c>
      <c r="E170" s="110">
        <v>530</v>
      </c>
      <c r="F170" s="196">
        <f t="shared" ref="F170:F175" si="24">E170*C170</f>
        <v>51410</v>
      </c>
      <c r="G170" s="156"/>
      <c r="H170" s="156"/>
      <c r="I170" s="6"/>
      <c r="J170" s="64"/>
      <c r="K170" s="38"/>
      <c r="L170" s="39"/>
      <c r="M170" s="248"/>
      <c r="N170" s="260"/>
      <c r="O170" s="261"/>
      <c r="P170" s="209"/>
      <c r="Q170" s="164"/>
      <c r="R170" s="239"/>
      <c r="S170" s="239"/>
      <c r="T170" s="288"/>
      <c r="U170" s="239"/>
      <c r="V170" s="115"/>
      <c r="W170" s="82"/>
      <c r="Y170" s="116"/>
      <c r="Z170" s="117"/>
    </row>
    <row r="171" spans="1:26" s="83" customFormat="1" ht="12.75" customHeight="1" outlineLevel="1" x14ac:dyDescent="0.25">
      <c r="A171" s="155"/>
      <c r="B171" s="470" t="s">
        <v>203</v>
      </c>
      <c r="C171" s="106">
        <f>ROUNDUP(((D159*D160)+D161)/6,0)</f>
        <v>50</v>
      </c>
      <c r="D171" s="106" t="s">
        <v>85</v>
      </c>
      <c r="E171" s="110">
        <v>800</v>
      </c>
      <c r="F171" s="196">
        <f t="shared" si="24"/>
        <v>40000</v>
      </c>
      <c r="G171" s="156"/>
      <c r="H171" s="156"/>
      <c r="I171" s="6"/>
      <c r="J171" s="64"/>
      <c r="K171" s="38"/>
      <c r="L171" s="39"/>
      <c r="M171" s="248"/>
      <c r="N171" s="260"/>
      <c r="O171" s="261"/>
      <c r="P171" s="209"/>
      <c r="Q171" s="164"/>
      <c r="R171" s="239"/>
      <c r="S171" s="239"/>
      <c r="T171" s="288"/>
      <c r="U171" s="239"/>
      <c r="V171" s="115"/>
      <c r="W171" s="82"/>
      <c r="Y171" s="116"/>
      <c r="Z171" s="117"/>
    </row>
    <row r="172" spans="1:26" s="83" customFormat="1" ht="12.75" customHeight="1" outlineLevel="1" x14ac:dyDescent="0.25">
      <c r="A172" s="155"/>
      <c r="B172" s="470" t="s">
        <v>188</v>
      </c>
      <c r="C172" s="106">
        <f>ROUNDUP(D165/6,0)</f>
        <v>13</v>
      </c>
      <c r="D172" s="106" t="s">
        <v>85</v>
      </c>
      <c r="E172" s="110">
        <v>1100</v>
      </c>
      <c r="F172" s="196">
        <f t="shared" si="24"/>
        <v>14300</v>
      </c>
      <c r="G172" s="156"/>
      <c r="H172" s="156"/>
      <c r="I172" s="6"/>
      <c r="J172" s="64"/>
      <c r="K172" s="38"/>
      <c r="L172" s="39"/>
      <c r="M172" s="248"/>
      <c r="N172" s="260"/>
      <c r="O172" s="261"/>
      <c r="P172" s="209"/>
      <c r="Q172" s="164"/>
      <c r="R172" s="239"/>
      <c r="S172" s="239"/>
      <c r="T172" s="288"/>
      <c r="U172" s="239"/>
      <c r="V172" s="115"/>
      <c r="W172" s="82"/>
      <c r="Y172" s="116"/>
      <c r="Z172" s="117"/>
    </row>
    <row r="173" spans="1:26" s="83" customFormat="1" ht="12.75" customHeight="1" outlineLevel="1" x14ac:dyDescent="0.25">
      <c r="A173" s="155"/>
      <c r="B173" s="470" t="s">
        <v>201</v>
      </c>
      <c r="C173" s="106">
        <v>5</v>
      </c>
      <c r="D173" s="106" t="s">
        <v>85</v>
      </c>
      <c r="E173" s="110">
        <v>850</v>
      </c>
      <c r="F173" s="196">
        <f t="shared" si="24"/>
        <v>4250</v>
      </c>
      <c r="G173" s="156"/>
      <c r="H173" s="156"/>
      <c r="I173" s="6"/>
      <c r="J173" s="64"/>
      <c r="K173" s="38"/>
      <c r="L173" s="39"/>
      <c r="M173" s="248"/>
      <c r="N173" s="260"/>
      <c r="O173" s="261"/>
      <c r="P173" s="209"/>
      <c r="Q173" s="164"/>
      <c r="R173" s="239"/>
      <c r="S173" s="239"/>
      <c r="T173" s="288"/>
      <c r="U173" s="239"/>
      <c r="V173" s="115"/>
      <c r="W173" s="82"/>
      <c r="Y173" s="116"/>
      <c r="Z173" s="117"/>
    </row>
    <row r="174" spans="1:26" s="83" customFormat="1" ht="12.75" customHeight="1" outlineLevel="1" x14ac:dyDescent="0.25">
      <c r="A174" s="155"/>
      <c r="B174" s="471" t="s">
        <v>151</v>
      </c>
      <c r="C174" s="106">
        <v>30</v>
      </c>
      <c r="D174" s="106" t="s">
        <v>86</v>
      </c>
      <c r="E174" s="110">
        <v>120</v>
      </c>
      <c r="F174" s="196">
        <f t="shared" si="24"/>
        <v>3600</v>
      </c>
      <c r="G174" s="156"/>
      <c r="H174" s="156"/>
      <c r="I174" s="6"/>
      <c r="J174" s="64"/>
      <c r="K174" s="38"/>
      <c r="L174" s="39"/>
      <c r="M174" s="248"/>
      <c r="N174" s="260"/>
      <c r="O174" s="261"/>
      <c r="P174" s="209"/>
      <c r="Q174" s="164"/>
      <c r="R174" s="239"/>
      <c r="S174" s="239"/>
      <c r="T174" s="288"/>
      <c r="U174" s="239"/>
      <c r="V174" s="115"/>
      <c r="W174" s="82"/>
      <c r="Y174" s="116"/>
      <c r="Z174" s="117"/>
    </row>
    <row r="175" spans="1:26" s="83" customFormat="1" ht="12.75" customHeight="1" outlineLevel="1" x14ac:dyDescent="0.25">
      <c r="A175" s="155"/>
      <c r="B175" s="470" t="s">
        <v>57</v>
      </c>
      <c r="C175" s="106">
        <v>1</v>
      </c>
      <c r="D175" s="106" t="s">
        <v>15</v>
      </c>
      <c r="E175" s="110">
        <f>SUM(F170:F174)*0.1</f>
        <v>11356</v>
      </c>
      <c r="F175" s="200">
        <f t="shared" si="24"/>
        <v>11356</v>
      </c>
      <c r="G175" s="156"/>
      <c r="H175" s="156"/>
      <c r="I175" s="6"/>
      <c r="J175" s="64"/>
      <c r="K175" s="38"/>
      <c r="L175" s="39"/>
      <c r="M175" s="248"/>
      <c r="N175" s="260"/>
      <c r="O175" s="261"/>
      <c r="P175" s="209"/>
      <c r="Q175" s="164"/>
      <c r="R175" s="239"/>
      <c r="S175" s="239"/>
      <c r="T175" s="288"/>
      <c r="U175" s="239"/>
      <c r="V175" s="115"/>
      <c r="W175" s="82"/>
      <c r="Y175" s="116"/>
      <c r="Z175" s="117"/>
    </row>
    <row r="176" spans="1:26" s="83" customFormat="1" ht="12.75" customHeight="1" outlineLevel="1" x14ac:dyDescent="0.25">
      <c r="A176" s="155"/>
      <c r="B176" s="204"/>
      <c r="C176" s="111"/>
      <c r="D176" s="95" t="s">
        <v>58</v>
      </c>
      <c r="E176" s="41"/>
      <c r="F176" s="201">
        <f>SUM(F170:F175)</f>
        <v>124916</v>
      </c>
      <c r="G176" s="156"/>
      <c r="H176" s="156"/>
      <c r="I176" s="6"/>
      <c r="J176" s="61"/>
      <c r="K176" s="38"/>
      <c r="L176" s="39"/>
      <c r="M176" s="248"/>
      <c r="N176" s="260"/>
      <c r="O176" s="261"/>
      <c r="P176" s="209"/>
      <c r="Q176" s="164"/>
      <c r="R176" s="239"/>
      <c r="S176" s="239"/>
      <c r="T176" s="288"/>
      <c r="U176" s="239"/>
      <c r="V176" s="115"/>
      <c r="W176" s="82"/>
      <c r="Y176" s="116"/>
      <c r="Z176" s="117"/>
    </row>
    <row r="177" spans="1:69" s="83" customFormat="1" ht="12.75" customHeight="1" outlineLevel="1" x14ac:dyDescent="0.25">
      <c r="A177" s="472" t="s">
        <v>47</v>
      </c>
      <c r="B177" s="469" t="s">
        <v>42</v>
      </c>
      <c r="C177" s="108" t="s">
        <v>43</v>
      </c>
      <c r="D177" s="108" t="s">
        <v>44</v>
      </c>
      <c r="E177" s="108" t="s">
        <v>45</v>
      </c>
      <c r="F177" s="197" t="s">
        <v>46</v>
      </c>
      <c r="G177" s="156"/>
      <c r="H177" s="156"/>
      <c r="I177" s="6"/>
      <c r="J177" s="61"/>
      <c r="K177" s="38"/>
      <c r="L177" s="39"/>
      <c r="M177" s="248"/>
      <c r="N177" s="260"/>
      <c r="O177" s="261"/>
      <c r="P177" s="209"/>
      <c r="Q177" s="164"/>
      <c r="R177" s="239"/>
      <c r="S177" s="239"/>
      <c r="T177" s="288"/>
      <c r="U177" s="239"/>
      <c r="V177" s="115"/>
      <c r="W177" s="82"/>
      <c r="Y177" s="116"/>
      <c r="Z177" s="117"/>
    </row>
    <row r="178" spans="1:69" s="83" customFormat="1" ht="12.75" customHeight="1" outlineLevel="1" x14ac:dyDescent="0.25">
      <c r="A178" s="473">
        <v>1</v>
      </c>
      <c r="B178" s="471" t="s">
        <v>89</v>
      </c>
      <c r="C178" s="111">
        <v>14</v>
      </c>
      <c r="D178" s="111" t="s">
        <v>60</v>
      </c>
      <c r="E178" s="113">
        <f>115*8</f>
        <v>920</v>
      </c>
      <c r="F178" s="198">
        <f>E178*C178*A178</f>
        <v>12880</v>
      </c>
      <c r="G178" s="156"/>
      <c r="H178" s="156"/>
      <c r="I178" s="6"/>
      <c r="J178" s="61"/>
      <c r="K178" s="38"/>
      <c r="L178" s="39"/>
      <c r="M178" s="248"/>
      <c r="N178" s="260"/>
      <c r="O178" s="261"/>
      <c r="P178" s="209"/>
      <c r="Q178" s="164"/>
      <c r="R178" s="239"/>
      <c r="S178" s="239"/>
      <c r="T178" s="288"/>
      <c r="U178" s="239"/>
      <c r="V178" s="115"/>
      <c r="W178" s="82"/>
      <c r="Y178" s="116"/>
      <c r="Z178" s="117"/>
    </row>
    <row r="179" spans="1:69" s="83" customFormat="1" ht="7.5" customHeight="1" outlineLevel="1" x14ac:dyDescent="0.25">
      <c r="A179" s="473">
        <v>1</v>
      </c>
      <c r="B179" s="471" t="s">
        <v>59</v>
      </c>
      <c r="C179" s="111">
        <v>14</v>
      </c>
      <c r="D179" s="111" t="s">
        <v>60</v>
      </c>
      <c r="E179" s="113">
        <f>97*8</f>
        <v>776</v>
      </c>
      <c r="F179" s="198">
        <f>E179*C179*A179</f>
        <v>10864</v>
      </c>
      <c r="G179" s="156"/>
      <c r="H179" s="156"/>
      <c r="I179" s="6"/>
      <c r="J179" s="61"/>
      <c r="K179" s="38"/>
      <c r="L179" s="39"/>
      <c r="M179" s="248"/>
      <c r="N179" s="260"/>
      <c r="O179" s="261"/>
      <c r="P179" s="209"/>
      <c r="Q179" s="164"/>
      <c r="R179" s="239"/>
      <c r="S179" s="239"/>
      <c r="T179" s="288"/>
      <c r="U179" s="239"/>
      <c r="V179" s="115"/>
      <c r="W179" s="82"/>
      <c r="Y179" s="116"/>
      <c r="Z179" s="117"/>
    </row>
    <row r="180" spans="1:69" s="83" customFormat="1" ht="12.75" customHeight="1" outlineLevel="1" x14ac:dyDescent="0.25">
      <c r="A180" s="473">
        <v>1</v>
      </c>
      <c r="B180" s="471" t="s">
        <v>71</v>
      </c>
      <c r="C180" s="111">
        <v>14</v>
      </c>
      <c r="D180" s="111" t="s">
        <v>60</v>
      </c>
      <c r="E180" s="113">
        <f>81*8</f>
        <v>648</v>
      </c>
      <c r="F180" s="199">
        <f>E180*C180*A180</f>
        <v>9072</v>
      </c>
      <c r="G180" s="156"/>
      <c r="H180" s="156"/>
      <c r="I180" s="6"/>
      <c r="J180" s="61"/>
      <c r="K180" s="38"/>
      <c r="L180" s="39"/>
      <c r="M180" s="248"/>
      <c r="N180" s="260"/>
      <c r="O180" s="261"/>
      <c r="P180" s="209"/>
      <c r="Q180" s="164"/>
      <c r="R180" s="239"/>
      <c r="S180" s="239"/>
      <c r="T180" s="288"/>
      <c r="U180" s="239"/>
      <c r="V180" s="115"/>
      <c r="W180" s="82"/>
      <c r="Y180" s="116"/>
      <c r="Z180" s="117"/>
    </row>
    <row r="181" spans="1:69" s="83" customFormat="1" ht="12.75" customHeight="1" outlineLevel="1" x14ac:dyDescent="0.25">
      <c r="A181" s="155"/>
      <c r="B181" s="474"/>
      <c r="C181" s="58"/>
      <c r="D181" s="95" t="s">
        <v>61</v>
      </c>
      <c r="E181" s="475"/>
      <c r="F181" s="198">
        <f>SUM(F179:F180)</f>
        <v>19936</v>
      </c>
      <c r="G181" s="156"/>
      <c r="H181" s="156"/>
      <c r="I181" s="6"/>
      <c r="J181" s="61"/>
      <c r="K181" s="38"/>
      <c r="L181" s="39"/>
      <c r="M181" s="248"/>
      <c r="N181" s="260"/>
      <c r="O181" s="261"/>
      <c r="P181" s="209"/>
      <c r="Q181" s="164"/>
      <c r="R181" s="239"/>
      <c r="S181" s="239"/>
      <c r="T181" s="288"/>
      <c r="U181" s="239"/>
      <c r="V181" s="115"/>
      <c r="W181" s="82"/>
      <c r="Y181" s="116"/>
      <c r="Z181" s="117"/>
    </row>
    <row r="182" spans="1:69" s="83" customFormat="1" ht="12.75" customHeight="1" outlineLevel="1" x14ac:dyDescent="0.25">
      <c r="A182" s="155"/>
      <c r="B182" s="474"/>
      <c r="C182" s="58"/>
      <c r="D182" s="95"/>
      <c r="E182" s="475"/>
      <c r="F182" s="198">
        <f>F176*0.35</f>
        <v>43720.6</v>
      </c>
      <c r="G182" s="156"/>
      <c r="H182" s="156"/>
      <c r="I182" s="6"/>
      <c r="J182" s="61"/>
      <c r="K182" s="38"/>
      <c r="L182" s="39"/>
      <c r="M182" s="248"/>
      <c r="N182" s="260"/>
      <c r="O182" s="261"/>
      <c r="P182" s="209"/>
      <c r="Q182" s="164"/>
      <c r="R182" s="239"/>
      <c r="S182" s="239"/>
      <c r="T182" s="288"/>
      <c r="U182" s="239"/>
      <c r="V182" s="115"/>
      <c r="W182" s="82"/>
      <c r="Y182" s="116"/>
      <c r="Z182" s="117"/>
    </row>
    <row r="183" spans="1:69" s="83" customFormat="1" ht="12.75" customHeight="1" outlineLevel="1" x14ac:dyDescent="0.25">
      <c r="A183" s="155"/>
      <c r="B183" s="131" t="s">
        <v>87</v>
      </c>
      <c r="C183" s="108" t="s">
        <v>43</v>
      </c>
      <c r="D183" s="108" t="s">
        <v>44</v>
      </c>
      <c r="E183" s="109" t="s">
        <v>45</v>
      </c>
      <c r="F183" s="197" t="s">
        <v>46</v>
      </c>
      <c r="G183" s="156"/>
      <c r="H183" s="156"/>
      <c r="I183" s="6"/>
      <c r="J183" s="61"/>
      <c r="K183" s="34"/>
      <c r="L183" s="96"/>
      <c r="M183" s="247"/>
      <c r="N183" s="252"/>
      <c r="O183" s="253"/>
      <c r="P183" s="267"/>
      <c r="Q183" s="253"/>
      <c r="R183" s="274"/>
      <c r="S183" s="276"/>
      <c r="T183" s="276"/>
      <c r="U183" s="276"/>
      <c r="V183" s="118"/>
      <c r="W183" s="82"/>
      <c r="Y183" s="119"/>
      <c r="Z183" s="120"/>
    </row>
    <row r="184" spans="1:69" s="83" customFormat="1" ht="12.75" customHeight="1" outlineLevel="1" x14ac:dyDescent="0.25">
      <c r="A184" s="155"/>
      <c r="B184" s="167" t="s">
        <v>90</v>
      </c>
      <c r="C184" s="106">
        <v>1</v>
      </c>
      <c r="D184" s="106" t="s">
        <v>15</v>
      </c>
      <c r="E184" s="107">
        <f>F182*0.1</f>
        <v>4372.0600000000004</v>
      </c>
      <c r="F184" s="200">
        <f>E184*C184</f>
        <v>4372.0600000000004</v>
      </c>
      <c r="G184" s="223"/>
      <c r="H184" s="156"/>
      <c r="I184" s="6"/>
      <c r="J184" s="61"/>
      <c r="K184" s="34"/>
      <c r="L184" s="96"/>
      <c r="M184" s="247"/>
      <c r="N184" s="252"/>
      <c r="O184" s="253"/>
      <c r="P184" s="267"/>
      <c r="Q184" s="253"/>
      <c r="R184" s="274"/>
      <c r="S184" s="276"/>
      <c r="T184" s="276"/>
      <c r="U184" s="276"/>
      <c r="V184" s="118"/>
      <c r="W184" s="82"/>
      <c r="Y184" s="119"/>
      <c r="Z184" s="120"/>
    </row>
    <row r="185" spans="1:69" s="83" customFormat="1" ht="12.75" customHeight="1" outlineLevel="1" x14ac:dyDescent="0.25">
      <c r="A185" s="155"/>
      <c r="B185" s="204"/>
      <c r="C185" s="58"/>
      <c r="D185" s="112" t="s">
        <v>88</v>
      </c>
      <c r="E185" s="42"/>
      <c r="F185" s="198">
        <f>F184</f>
        <v>4372.0600000000004</v>
      </c>
      <c r="G185" s="156"/>
      <c r="H185" s="156"/>
      <c r="I185" s="6"/>
      <c r="J185" s="61"/>
      <c r="K185" s="34"/>
      <c r="L185" s="96"/>
      <c r="M185" s="247"/>
      <c r="N185" s="252"/>
      <c r="O185" s="253"/>
      <c r="P185" s="267"/>
      <c r="Q185" s="253"/>
      <c r="R185" s="274"/>
      <c r="S185" s="276"/>
      <c r="T185" s="276"/>
      <c r="U185" s="276"/>
      <c r="V185" s="118"/>
      <c r="W185" s="82"/>
      <c r="Y185" s="119"/>
      <c r="Z185" s="120"/>
    </row>
    <row r="186" spans="1:69" s="83" customFormat="1" ht="12.75" customHeight="1" outlineLevel="1" x14ac:dyDescent="0.25">
      <c r="A186" s="155"/>
      <c r="B186" s="474"/>
      <c r="C186" s="58"/>
      <c r="D186" s="95" t="s">
        <v>46</v>
      </c>
      <c r="E186" s="41"/>
      <c r="F186" s="202">
        <f>F181+F176+F185</f>
        <v>149224.06</v>
      </c>
      <c r="G186" s="156"/>
      <c r="H186" s="156"/>
      <c r="I186" s="6"/>
      <c r="J186" s="61"/>
      <c r="K186" s="38"/>
      <c r="L186" s="39"/>
      <c r="M186" s="248"/>
      <c r="N186" s="260"/>
      <c r="O186" s="261"/>
      <c r="P186" s="209"/>
      <c r="Q186" s="164"/>
      <c r="R186" s="239"/>
      <c r="S186" s="239"/>
      <c r="T186" s="288"/>
      <c r="U186" s="239"/>
      <c r="V186" s="115"/>
      <c r="W186" s="82"/>
      <c r="Y186" s="116"/>
      <c r="Z186" s="117"/>
    </row>
    <row r="187" spans="1:69" ht="12.75" customHeight="1" x14ac:dyDescent="0.25">
      <c r="A187" s="139"/>
      <c r="B187" s="126"/>
      <c r="C187" s="481"/>
      <c r="D187" s="481"/>
      <c r="E187" s="481"/>
      <c r="F187" s="160"/>
      <c r="G187" s="139"/>
      <c r="H187" s="139"/>
      <c r="I187" s="12"/>
      <c r="J187" s="12"/>
      <c r="K187" s="12"/>
      <c r="L187" s="12"/>
      <c r="M187" s="139"/>
      <c r="N187" s="126"/>
      <c r="O187" s="176"/>
      <c r="P187" s="264"/>
      <c r="Q187" s="176"/>
      <c r="R187" s="271"/>
      <c r="S187" s="271"/>
      <c r="T187" s="271"/>
      <c r="U187" s="271"/>
    </row>
    <row r="188" spans="1:69" s="1" customFormat="1" ht="12.75" customHeight="1" x14ac:dyDescent="0.25">
      <c r="A188" s="149"/>
      <c r="B188" s="189"/>
      <c r="C188" s="40"/>
      <c r="D188" s="44"/>
      <c r="E188" s="44"/>
      <c r="F188" s="190"/>
      <c r="G188" s="227"/>
      <c r="H188" s="238"/>
      <c r="I188" s="85"/>
      <c r="J188" s="85"/>
      <c r="K188" s="85"/>
      <c r="L188" s="85"/>
      <c r="M188" s="245"/>
      <c r="N188" s="257"/>
      <c r="O188" s="258"/>
      <c r="P188" s="269"/>
      <c r="Q188" s="258"/>
      <c r="R188" s="277"/>
      <c r="S188" s="280" t="s">
        <v>17</v>
      </c>
      <c r="T188" s="287">
        <f>SUM(T148:T187)</f>
        <v>227074.31</v>
      </c>
      <c r="U188" s="441"/>
      <c r="V188" s="47"/>
      <c r="W188" s="3"/>
    </row>
    <row r="189" spans="1:69" s="343" customFormat="1" ht="12.75" customHeight="1" x14ac:dyDescent="0.25">
      <c r="A189" s="334">
        <v>4</v>
      </c>
      <c r="B189" s="335" t="s">
        <v>192</v>
      </c>
      <c r="C189" s="336"/>
      <c r="D189" s="336"/>
      <c r="E189" s="336"/>
      <c r="F189" s="337"/>
      <c r="G189" s="346"/>
      <c r="H189" s="347"/>
      <c r="I189" s="298"/>
      <c r="J189" s="298"/>
      <c r="K189" s="298"/>
      <c r="L189" s="298"/>
      <c r="M189" s="300"/>
      <c r="N189" s="323"/>
      <c r="O189" s="302"/>
      <c r="P189" s="348"/>
      <c r="Q189" s="302"/>
      <c r="R189" s="305"/>
      <c r="S189" s="351"/>
      <c r="T189" s="352"/>
      <c r="U189" s="442"/>
      <c r="V189" s="47"/>
      <c r="W189" s="7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</row>
    <row r="190" spans="1:69" s="293" customFormat="1" ht="12.75" customHeight="1" x14ac:dyDescent="0.25">
      <c r="A190" s="290">
        <v>4.0999999999999996</v>
      </c>
      <c r="B190" s="333"/>
      <c r="C190" s="292" t="s">
        <v>202</v>
      </c>
      <c r="D190" s="292"/>
      <c r="E190" s="361"/>
      <c r="F190" s="344"/>
      <c r="G190" s="295"/>
      <c r="H190" s="296"/>
      <c r="I190" s="297"/>
      <c r="J190" s="297"/>
      <c r="K190" s="297"/>
      <c r="L190" s="297"/>
      <c r="M190" s="327"/>
      <c r="N190" s="328"/>
      <c r="O190" s="329"/>
      <c r="P190" s="330"/>
      <c r="Q190" s="329"/>
      <c r="R190" s="331"/>
      <c r="S190" s="332"/>
      <c r="T190" s="332"/>
      <c r="U190" s="332"/>
      <c r="V190" s="47"/>
      <c r="W190" s="3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</row>
    <row r="191" spans="1:69" s="293" customFormat="1" ht="12.75" customHeight="1" x14ac:dyDescent="0.25">
      <c r="A191" s="290"/>
      <c r="B191" s="333"/>
      <c r="C191" s="293" t="s">
        <v>184</v>
      </c>
      <c r="D191" s="292"/>
      <c r="E191" s="361"/>
      <c r="F191" s="344"/>
      <c r="G191" s="295">
        <f>C199</f>
        <v>232</v>
      </c>
      <c r="H191" s="295" t="str">
        <f>D199</f>
        <v>sqm</v>
      </c>
      <c r="I191" s="297">
        <f>F199</f>
        <v>255200</v>
      </c>
      <c r="J191" s="297">
        <f>I191*0.35</f>
        <v>89320</v>
      </c>
      <c r="K191" s="297">
        <f>J191*1%</f>
        <v>893.2</v>
      </c>
      <c r="L191" s="297">
        <f>SUM(I191:K191)</f>
        <v>345413.2</v>
      </c>
      <c r="M191" s="327">
        <f>ROUNDUP(L191,0)</f>
        <v>345414</v>
      </c>
      <c r="N191" s="328">
        <f>ROUND(M191*0.12,2)</f>
        <v>41449.68</v>
      </c>
      <c r="O191" s="329">
        <f>ROUND(M191*0.08,2)</f>
        <v>27633.119999999999</v>
      </c>
      <c r="P191" s="330">
        <v>0.25</v>
      </c>
      <c r="Q191" s="329">
        <f>P191*M191</f>
        <v>86353.5</v>
      </c>
      <c r="R191" s="331">
        <f>ROUND((M191+Q191)*0.05,2)</f>
        <v>21588.38</v>
      </c>
      <c r="S191" s="332">
        <f>R191+Q191</f>
        <v>107941.88</v>
      </c>
      <c r="T191" s="332">
        <f>M191+S191</f>
        <v>453355.88</v>
      </c>
      <c r="U191" s="332">
        <f>T191/G191</f>
        <v>1954.1201724137932</v>
      </c>
      <c r="V191" s="47"/>
      <c r="W191" s="3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</row>
    <row r="192" spans="1:69" s="1" customFormat="1" ht="12.75" customHeight="1" x14ac:dyDescent="0.25">
      <c r="A192" s="290"/>
      <c r="B192" s="333"/>
      <c r="C192" s="293" t="s">
        <v>185</v>
      </c>
      <c r="D192" s="292"/>
      <c r="E192" s="361"/>
      <c r="F192" s="344"/>
      <c r="G192" s="295">
        <f t="shared" ref="G192:H195" si="25">C200</f>
        <v>45</v>
      </c>
      <c r="H192" s="295" t="str">
        <f t="shared" si="25"/>
        <v>lm</v>
      </c>
      <c r="I192" s="297">
        <f>F200</f>
        <v>40500</v>
      </c>
      <c r="J192" s="297">
        <f t="shared" ref="J192:J197" si="26">I192*0.35</f>
        <v>14175</v>
      </c>
      <c r="K192" s="297">
        <f t="shared" ref="K192:K197" si="27">J192*1%</f>
        <v>141.75</v>
      </c>
      <c r="L192" s="297">
        <f t="shared" ref="L192:L195" si="28">SUM(I192:K192)</f>
        <v>54816.75</v>
      </c>
      <c r="M192" s="327">
        <f t="shared" ref="M192:M197" si="29">ROUNDUP(L192,0)</f>
        <v>54817</v>
      </c>
      <c r="N192" s="328">
        <f t="shared" ref="N192:N197" si="30">ROUND(M192*0.12,2)</f>
        <v>6578.04</v>
      </c>
      <c r="O192" s="329">
        <f t="shared" ref="O192:O195" si="31">ROUND(M192*0.08,2)</f>
        <v>4385.3599999999997</v>
      </c>
      <c r="P192" s="330">
        <v>0.25</v>
      </c>
      <c r="Q192" s="329">
        <f t="shared" ref="Q192:Q195" si="32">P192*M192</f>
        <v>13704.25</v>
      </c>
      <c r="R192" s="331">
        <f t="shared" ref="R192:R195" si="33">ROUND((M192+Q192)*0.05,2)</f>
        <v>3426.06</v>
      </c>
      <c r="S192" s="332">
        <f t="shared" ref="S192:S195" si="34">R192+Q192</f>
        <v>17130.310000000001</v>
      </c>
      <c r="T192" s="332">
        <f>M192+S192</f>
        <v>71947.31</v>
      </c>
      <c r="U192" s="332">
        <f t="shared" ref="U192:U195" si="35">T192/G192</f>
        <v>1598.8291111111112</v>
      </c>
      <c r="V192" s="47"/>
      <c r="W192" s="3"/>
    </row>
    <row r="193" spans="1:26" s="1" customFormat="1" ht="12.75" customHeight="1" x14ac:dyDescent="0.25">
      <c r="A193" s="290"/>
      <c r="B193" s="333"/>
      <c r="C193" s="293" t="s">
        <v>190</v>
      </c>
      <c r="D193" s="292"/>
      <c r="E193" s="361"/>
      <c r="F193" s="344"/>
      <c r="G193" s="295">
        <f t="shared" si="25"/>
        <v>45</v>
      </c>
      <c r="H193" s="295" t="str">
        <f t="shared" si="25"/>
        <v>lm</v>
      </c>
      <c r="I193" s="297">
        <f>F201</f>
        <v>11250</v>
      </c>
      <c r="J193" s="297">
        <f t="shared" si="26"/>
        <v>3937.4999999999995</v>
      </c>
      <c r="K193" s="297">
        <f t="shared" si="27"/>
        <v>39.374999999999993</v>
      </c>
      <c r="L193" s="297">
        <f t="shared" si="28"/>
        <v>15226.875</v>
      </c>
      <c r="M193" s="327">
        <f t="shared" si="29"/>
        <v>15227</v>
      </c>
      <c r="N193" s="328">
        <f t="shared" si="30"/>
        <v>1827.24</v>
      </c>
      <c r="O193" s="329">
        <f t="shared" si="31"/>
        <v>1218.1600000000001</v>
      </c>
      <c r="P193" s="330">
        <v>0.25</v>
      </c>
      <c r="Q193" s="329">
        <f t="shared" si="32"/>
        <v>3806.75</v>
      </c>
      <c r="R193" s="331">
        <f t="shared" si="33"/>
        <v>951.69</v>
      </c>
      <c r="S193" s="332">
        <f t="shared" si="34"/>
        <v>4758.4400000000005</v>
      </c>
      <c r="T193" s="332">
        <f t="shared" ref="T193:T195" si="36">M193+S193</f>
        <v>19985.440000000002</v>
      </c>
      <c r="U193" s="332">
        <f t="shared" si="35"/>
        <v>444.12088888888894</v>
      </c>
      <c r="V193" s="47"/>
      <c r="W193" s="3"/>
    </row>
    <row r="194" spans="1:26" s="1" customFormat="1" ht="12.75" customHeight="1" x14ac:dyDescent="0.25">
      <c r="A194" s="290"/>
      <c r="B194" s="333"/>
      <c r="C194" s="293" t="s">
        <v>191</v>
      </c>
      <c r="D194" s="292"/>
      <c r="E194" s="361"/>
      <c r="F194" s="344"/>
      <c r="G194" s="295">
        <f>C202</f>
        <v>8</v>
      </c>
      <c r="H194" s="295" t="str">
        <f t="shared" si="25"/>
        <v>lm</v>
      </c>
      <c r="I194" s="297">
        <f>F202</f>
        <v>2000</v>
      </c>
      <c r="J194" s="297">
        <f t="shared" si="26"/>
        <v>700</v>
      </c>
      <c r="K194" s="297">
        <f t="shared" si="27"/>
        <v>7</v>
      </c>
      <c r="L194" s="297">
        <f t="shared" si="28"/>
        <v>2707</v>
      </c>
      <c r="M194" s="327">
        <f t="shared" si="29"/>
        <v>2707</v>
      </c>
      <c r="N194" s="328">
        <f t="shared" si="30"/>
        <v>324.83999999999997</v>
      </c>
      <c r="O194" s="329">
        <f t="shared" si="31"/>
        <v>216.56</v>
      </c>
      <c r="P194" s="330">
        <v>0.25</v>
      </c>
      <c r="Q194" s="329">
        <f t="shared" si="32"/>
        <v>676.75</v>
      </c>
      <c r="R194" s="331">
        <f t="shared" si="33"/>
        <v>169.19</v>
      </c>
      <c r="S194" s="332">
        <f t="shared" si="34"/>
        <v>845.94</v>
      </c>
      <c r="T194" s="332">
        <f t="shared" si="36"/>
        <v>3552.94</v>
      </c>
      <c r="U194" s="332">
        <f t="shared" si="35"/>
        <v>444.11750000000001</v>
      </c>
      <c r="V194" s="47"/>
      <c r="W194" s="3"/>
    </row>
    <row r="195" spans="1:26" s="1" customFormat="1" ht="12.75" customHeight="1" x14ac:dyDescent="0.25">
      <c r="A195" s="290"/>
      <c r="B195" s="333"/>
      <c r="C195" s="293" t="s">
        <v>199</v>
      </c>
      <c r="D195" s="292"/>
      <c r="E195" s="361"/>
      <c r="F195" s="344"/>
      <c r="G195" s="295">
        <f t="shared" si="25"/>
        <v>45</v>
      </c>
      <c r="H195" s="295" t="str">
        <f t="shared" si="25"/>
        <v>lm</v>
      </c>
      <c r="I195" s="297">
        <f>F203</f>
        <v>15750</v>
      </c>
      <c r="J195" s="297">
        <f t="shared" si="26"/>
        <v>5512.5</v>
      </c>
      <c r="K195" s="297">
        <f t="shared" si="27"/>
        <v>55.125</v>
      </c>
      <c r="L195" s="297">
        <f t="shared" si="28"/>
        <v>21317.625</v>
      </c>
      <c r="M195" s="327">
        <f t="shared" si="29"/>
        <v>21318</v>
      </c>
      <c r="N195" s="328">
        <f t="shared" si="30"/>
        <v>2558.16</v>
      </c>
      <c r="O195" s="329">
        <f t="shared" si="31"/>
        <v>1705.44</v>
      </c>
      <c r="P195" s="330">
        <v>0.25</v>
      </c>
      <c r="Q195" s="329">
        <f t="shared" si="32"/>
        <v>5329.5</v>
      </c>
      <c r="R195" s="331">
        <f t="shared" si="33"/>
        <v>1332.38</v>
      </c>
      <c r="S195" s="332">
        <f t="shared" si="34"/>
        <v>6661.88</v>
      </c>
      <c r="T195" s="332">
        <f t="shared" si="36"/>
        <v>27979.88</v>
      </c>
      <c r="U195" s="332">
        <f t="shared" si="35"/>
        <v>621.77511111111119</v>
      </c>
      <c r="V195" s="47"/>
      <c r="W195" s="3"/>
    </row>
    <row r="196" spans="1:26" s="1" customFormat="1" ht="12.75" customHeight="1" x14ac:dyDescent="0.25">
      <c r="A196" s="290"/>
      <c r="B196" s="333"/>
      <c r="C196" s="293" t="s">
        <v>204</v>
      </c>
      <c r="D196" s="292"/>
      <c r="E196" s="361"/>
      <c r="F196" s="344"/>
      <c r="G196" s="295"/>
      <c r="H196" s="295"/>
      <c r="I196" s="297"/>
      <c r="J196" s="297"/>
      <c r="K196" s="297"/>
      <c r="L196" s="297"/>
      <c r="M196" s="327"/>
      <c r="N196" s="328"/>
      <c r="O196" s="329"/>
      <c r="P196" s="330"/>
      <c r="Q196" s="329"/>
      <c r="R196" s="331"/>
      <c r="S196" s="332"/>
      <c r="T196" s="332"/>
      <c r="U196" s="332"/>
      <c r="V196" s="47"/>
      <c r="W196" s="3"/>
    </row>
    <row r="197" spans="1:26" s="1" customFormat="1" ht="12.75" customHeight="1" x14ac:dyDescent="0.25">
      <c r="A197" s="290"/>
      <c r="B197" s="333"/>
      <c r="C197" s="293" t="s">
        <v>57</v>
      </c>
      <c r="D197" s="292"/>
      <c r="E197" s="361"/>
      <c r="F197" s="344"/>
      <c r="G197" s="295">
        <f t="shared" ref="G197:H197" si="37">C204</f>
        <v>1</v>
      </c>
      <c r="H197" s="295" t="str">
        <f t="shared" si="37"/>
        <v>lot</v>
      </c>
      <c r="I197" s="297">
        <f>F204</f>
        <v>3000</v>
      </c>
      <c r="J197" s="297">
        <f t="shared" si="26"/>
        <v>1050</v>
      </c>
      <c r="K197" s="297">
        <f t="shared" si="27"/>
        <v>10.5</v>
      </c>
      <c r="L197" s="297">
        <f t="shared" ref="L197" si="38">SUM(I197:K197)</f>
        <v>4060.5</v>
      </c>
      <c r="M197" s="327">
        <f t="shared" si="29"/>
        <v>4061</v>
      </c>
      <c r="N197" s="328">
        <f t="shared" si="30"/>
        <v>487.32</v>
      </c>
      <c r="O197" s="329">
        <f t="shared" ref="O197" si="39">ROUND(M197*0.08,2)</f>
        <v>324.88</v>
      </c>
      <c r="P197" s="330">
        <v>0.25</v>
      </c>
      <c r="Q197" s="329">
        <f t="shared" ref="Q197" si="40">P197*M197</f>
        <v>1015.25</v>
      </c>
      <c r="R197" s="331">
        <f t="shared" ref="R197" si="41">ROUND((M197+Q197)*0.05,2)</f>
        <v>253.81</v>
      </c>
      <c r="S197" s="332">
        <f t="shared" ref="S197" si="42">R197+Q197</f>
        <v>1269.06</v>
      </c>
      <c r="T197" s="332">
        <f t="shared" ref="T197" si="43">M197+S197</f>
        <v>5330.0599999999995</v>
      </c>
      <c r="U197" s="332">
        <f t="shared" ref="U197" si="44">T197/G197</f>
        <v>5330.0599999999995</v>
      </c>
      <c r="V197" s="47"/>
      <c r="W197" s="3"/>
    </row>
    <row r="198" spans="1:26" s="83" customFormat="1" ht="12.75" customHeight="1" outlineLevel="1" x14ac:dyDescent="0.25">
      <c r="A198" s="155"/>
      <c r="B198" s="469" t="s">
        <v>41</v>
      </c>
      <c r="C198" s="108" t="s">
        <v>43</v>
      </c>
      <c r="D198" s="108" t="s">
        <v>44</v>
      </c>
      <c r="E198" s="108" t="s">
        <v>45</v>
      </c>
      <c r="F198" s="197" t="s">
        <v>46</v>
      </c>
      <c r="G198" s="156"/>
      <c r="H198" s="156"/>
      <c r="I198" s="6"/>
      <c r="J198" s="61"/>
      <c r="K198" s="38"/>
      <c r="L198" s="39"/>
      <c r="M198" s="248"/>
      <c r="N198" s="260"/>
      <c r="O198" s="261"/>
      <c r="P198" s="209"/>
      <c r="Q198" s="164"/>
      <c r="R198" s="239"/>
      <c r="S198" s="239"/>
      <c r="T198" s="288"/>
      <c r="U198" s="239"/>
      <c r="V198" s="115"/>
      <c r="W198" s="82"/>
      <c r="Y198" s="116"/>
      <c r="Z198" s="117"/>
    </row>
    <row r="199" spans="1:26" s="83" customFormat="1" ht="12.75" customHeight="1" outlineLevel="1" x14ac:dyDescent="0.25">
      <c r="A199" s="155"/>
      <c r="B199" s="470" t="s">
        <v>184</v>
      </c>
      <c r="C199" s="106">
        <f>ROUNDUP((6*27.3)+(6*11.35),0)</f>
        <v>232</v>
      </c>
      <c r="D199" s="106" t="s">
        <v>186</v>
      </c>
      <c r="E199" s="110">
        <v>1100</v>
      </c>
      <c r="F199" s="196">
        <f t="shared" ref="F199:F205" si="45">E199*C199</f>
        <v>255200</v>
      </c>
      <c r="G199" s="156"/>
      <c r="H199" s="156"/>
      <c r="I199" s="6"/>
      <c r="J199" s="64"/>
      <c r="K199" s="38"/>
      <c r="L199" s="39"/>
      <c r="M199" s="248"/>
      <c r="N199" s="260"/>
      <c r="O199" s="261"/>
      <c r="P199" s="209"/>
      <c r="Q199" s="164"/>
      <c r="R199" s="239"/>
      <c r="S199" s="239"/>
      <c r="T199" s="288"/>
      <c r="U199" s="239"/>
      <c r="V199" s="115"/>
      <c r="W199" s="82"/>
      <c r="Y199" s="116"/>
      <c r="Z199" s="117"/>
    </row>
    <row r="200" spans="1:26" s="83" customFormat="1" ht="12.75" customHeight="1" outlineLevel="1" x14ac:dyDescent="0.25">
      <c r="A200" s="155"/>
      <c r="B200" s="470" t="s">
        <v>185</v>
      </c>
      <c r="C200" s="106">
        <f>ROUNDUP(27.3+17.35,0)</f>
        <v>45</v>
      </c>
      <c r="D200" s="106" t="s">
        <v>19</v>
      </c>
      <c r="E200" s="110">
        <v>900</v>
      </c>
      <c r="F200" s="196">
        <f t="shared" si="45"/>
        <v>40500</v>
      </c>
      <c r="G200" s="156"/>
      <c r="H200" s="156"/>
      <c r="I200" s="6"/>
      <c r="J200" s="64"/>
      <c r="K200" s="38"/>
      <c r="L200" s="39"/>
      <c r="M200" s="248"/>
      <c r="N200" s="260"/>
      <c r="O200" s="261"/>
      <c r="P200" s="209"/>
      <c r="Q200" s="164"/>
      <c r="R200" s="239"/>
      <c r="S200" s="239"/>
      <c r="T200" s="288"/>
      <c r="U200" s="239"/>
      <c r="V200" s="115"/>
      <c r="W200" s="82"/>
      <c r="Y200" s="116"/>
      <c r="Z200" s="117"/>
    </row>
    <row r="201" spans="1:26" s="83" customFormat="1" ht="12.75" customHeight="1" outlineLevel="1" x14ac:dyDescent="0.25">
      <c r="A201" s="155"/>
      <c r="B201" s="470" t="s">
        <v>190</v>
      </c>
      <c r="C201" s="106">
        <f>ROUNDUP(27.3+17.35,0)</f>
        <v>45</v>
      </c>
      <c r="D201" s="106" t="s">
        <v>19</v>
      </c>
      <c r="E201" s="110">
        <v>250</v>
      </c>
      <c r="F201" s="196">
        <f t="shared" si="45"/>
        <v>11250</v>
      </c>
      <c r="G201" s="156"/>
      <c r="H201" s="156"/>
      <c r="I201" s="6"/>
      <c r="J201" s="64"/>
      <c r="K201" s="38"/>
      <c r="L201" s="39"/>
      <c r="M201" s="248"/>
      <c r="N201" s="260"/>
      <c r="O201" s="261"/>
      <c r="P201" s="209"/>
      <c r="Q201" s="164"/>
      <c r="R201" s="239"/>
      <c r="S201" s="239"/>
      <c r="T201" s="288"/>
      <c r="U201" s="239"/>
      <c r="V201" s="115"/>
      <c r="W201" s="82"/>
      <c r="Y201" s="116"/>
      <c r="Z201" s="117"/>
    </row>
    <row r="202" spans="1:26" s="83" customFormat="1" ht="12.75" customHeight="1" outlineLevel="1" x14ac:dyDescent="0.25">
      <c r="A202" s="155"/>
      <c r="B202" s="470" t="s">
        <v>191</v>
      </c>
      <c r="C202" s="106">
        <v>8</v>
      </c>
      <c r="D202" s="106" t="s">
        <v>19</v>
      </c>
      <c r="E202" s="110">
        <v>250</v>
      </c>
      <c r="F202" s="196">
        <f t="shared" si="45"/>
        <v>2000</v>
      </c>
      <c r="G202" s="156"/>
      <c r="H202" s="156"/>
      <c r="I202" s="6"/>
      <c r="J202" s="64"/>
      <c r="K202" s="38"/>
      <c r="L202" s="39"/>
      <c r="M202" s="248"/>
      <c r="N202" s="260"/>
      <c r="O202" s="261"/>
      <c r="P202" s="209"/>
      <c r="Q202" s="164"/>
      <c r="R202" s="239"/>
      <c r="S202" s="239"/>
      <c r="T202" s="288"/>
      <c r="U202" s="239"/>
      <c r="V202" s="115"/>
      <c r="W202" s="82"/>
      <c r="Y202" s="116"/>
      <c r="Z202" s="117"/>
    </row>
    <row r="203" spans="1:26" s="83" customFormat="1" ht="12.75" customHeight="1" outlineLevel="1" x14ac:dyDescent="0.25">
      <c r="A203" s="155"/>
      <c r="B203" s="470" t="s">
        <v>199</v>
      </c>
      <c r="C203" s="106">
        <f>ROUNDUP(27.3+17.35,0)</f>
        <v>45</v>
      </c>
      <c r="D203" s="106" t="s">
        <v>19</v>
      </c>
      <c r="E203" s="110">
        <v>350</v>
      </c>
      <c r="F203" s="196">
        <f t="shared" si="45"/>
        <v>15750</v>
      </c>
      <c r="G203" s="156"/>
      <c r="H203" s="156"/>
      <c r="I203" s="6"/>
      <c r="J203" s="64"/>
      <c r="K203" s="38"/>
      <c r="L203" s="39"/>
      <c r="M203" s="248"/>
      <c r="N203" s="260"/>
      <c r="O203" s="261"/>
      <c r="P203" s="209"/>
      <c r="Q203" s="164"/>
      <c r="R203" s="239"/>
      <c r="S203" s="239"/>
      <c r="T203" s="288"/>
      <c r="U203" s="239"/>
      <c r="V203" s="115"/>
      <c r="W203" s="82"/>
      <c r="Y203" s="116"/>
      <c r="Z203" s="117"/>
    </row>
    <row r="204" spans="1:26" s="83" customFormat="1" ht="12.75" customHeight="1" outlineLevel="1" x14ac:dyDescent="0.25">
      <c r="A204" s="155"/>
      <c r="B204" s="471" t="s">
        <v>193</v>
      </c>
      <c r="C204" s="106">
        <v>1</v>
      </c>
      <c r="D204" s="106" t="s">
        <v>15</v>
      </c>
      <c r="E204" s="110">
        <v>3000</v>
      </c>
      <c r="F204" s="196">
        <f t="shared" si="45"/>
        <v>3000</v>
      </c>
      <c r="G204" s="156"/>
      <c r="H204" s="156"/>
      <c r="I204" s="6"/>
      <c r="J204" s="64"/>
      <c r="K204" s="38"/>
      <c r="L204" s="39"/>
      <c r="M204" s="248"/>
      <c r="N204" s="260"/>
      <c r="O204" s="261"/>
      <c r="P204" s="209"/>
      <c r="Q204" s="164"/>
      <c r="R204" s="239"/>
      <c r="S204" s="239"/>
      <c r="T204" s="288"/>
      <c r="U204" s="239"/>
      <c r="V204" s="115"/>
      <c r="W204" s="82"/>
      <c r="Y204" s="116"/>
      <c r="Z204" s="117"/>
    </row>
    <row r="205" spans="1:26" s="83" customFormat="1" ht="12.75" customHeight="1" outlineLevel="1" x14ac:dyDescent="0.25">
      <c r="A205" s="155"/>
      <c r="B205" s="470" t="s">
        <v>57</v>
      </c>
      <c r="C205" s="106">
        <v>1</v>
      </c>
      <c r="D205" s="106" t="s">
        <v>15</v>
      </c>
      <c r="E205" s="110" cm="1">
        <f t="array" ref="E205">SUM(F199:F204*0.1)</f>
        <v>32770</v>
      </c>
      <c r="F205" s="200">
        <f t="shared" si="45"/>
        <v>32770</v>
      </c>
      <c r="G205" s="156"/>
      <c r="H205" s="156"/>
      <c r="I205" s="6"/>
      <c r="J205" s="64"/>
      <c r="K205" s="38"/>
      <c r="L205" s="39"/>
      <c r="M205" s="248"/>
      <c r="N205" s="260"/>
      <c r="O205" s="261"/>
      <c r="P205" s="209"/>
      <c r="Q205" s="164"/>
      <c r="R205" s="239"/>
      <c r="S205" s="239"/>
      <c r="T205" s="288"/>
      <c r="U205" s="239"/>
      <c r="V205" s="115"/>
      <c r="W205" s="82"/>
      <c r="Y205" s="116"/>
      <c r="Z205" s="117"/>
    </row>
    <row r="206" spans="1:26" s="83" customFormat="1" ht="12.75" customHeight="1" outlineLevel="1" x14ac:dyDescent="0.25">
      <c r="A206" s="155"/>
      <c r="B206" s="204"/>
      <c r="C206" s="111"/>
      <c r="D206" s="95" t="s">
        <v>58</v>
      </c>
      <c r="E206" s="41"/>
      <c r="F206" s="201">
        <f>SUM(F199:F205)</f>
        <v>360470</v>
      </c>
      <c r="G206" s="156"/>
      <c r="H206" s="156"/>
      <c r="I206" s="6"/>
      <c r="J206" s="61"/>
      <c r="K206" s="38"/>
      <c r="L206" s="39"/>
      <c r="M206" s="248"/>
      <c r="N206" s="260"/>
      <c r="O206" s="261"/>
      <c r="P206" s="209"/>
      <c r="Q206" s="164"/>
      <c r="R206" s="239"/>
      <c r="S206" s="239"/>
      <c r="T206" s="288"/>
      <c r="U206" s="239"/>
      <c r="V206" s="115"/>
      <c r="W206" s="82"/>
      <c r="Y206" s="116"/>
      <c r="Z206" s="117"/>
    </row>
    <row r="207" spans="1:26" s="83" customFormat="1" ht="12.75" customHeight="1" outlineLevel="1" x14ac:dyDescent="0.25">
      <c r="A207" s="472" t="s">
        <v>47</v>
      </c>
      <c r="B207" s="469" t="s">
        <v>42</v>
      </c>
      <c r="C207" s="108" t="s">
        <v>43</v>
      </c>
      <c r="D207" s="108" t="s">
        <v>44</v>
      </c>
      <c r="E207" s="108" t="s">
        <v>45</v>
      </c>
      <c r="F207" s="197" t="s">
        <v>46</v>
      </c>
      <c r="G207" s="156"/>
      <c r="H207" s="156"/>
      <c r="I207" s="6"/>
      <c r="J207" s="61"/>
      <c r="K207" s="38"/>
      <c r="L207" s="39"/>
      <c r="M207" s="248"/>
      <c r="N207" s="260"/>
      <c r="O207" s="261"/>
      <c r="P207" s="209"/>
      <c r="Q207" s="164"/>
      <c r="R207" s="239"/>
      <c r="S207" s="239"/>
      <c r="T207" s="288"/>
      <c r="U207" s="239"/>
      <c r="V207" s="115"/>
      <c r="W207" s="82"/>
      <c r="Y207" s="116"/>
      <c r="Z207" s="117"/>
    </row>
    <row r="208" spans="1:26" s="83" customFormat="1" ht="12.75" customHeight="1" outlineLevel="1" x14ac:dyDescent="0.25">
      <c r="A208" s="473">
        <v>1</v>
      </c>
      <c r="B208" s="471" t="s">
        <v>89</v>
      </c>
      <c r="C208" s="111">
        <v>14</v>
      </c>
      <c r="D208" s="111" t="s">
        <v>60</v>
      </c>
      <c r="E208" s="113">
        <f>115*8</f>
        <v>920</v>
      </c>
      <c r="F208" s="198">
        <f>E208*C208*A208</f>
        <v>12880</v>
      </c>
      <c r="G208" s="156"/>
      <c r="H208" s="156"/>
      <c r="I208" s="6"/>
      <c r="J208" s="61"/>
      <c r="K208" s="38"/>
      <c r="L208" s="39"/>
      <c r="M208" s="248"/>
      <c r="N208" s="260"/>
      <c r="O208" s="261"/>
      <c r="P208" s="209"/>
      <c r="Q208" s="164"/>
      <c r="R208" s="239"/>
      <c r="S208" s="239"/>
      <c r="T208" s="288"/>
      <c r="U208" s="239"/>
      <c r="V208" s="115"/>
      <c r="W208" s="82"/>
      <c r="Y208" s="116"/>
      <c r="Z208" s="117"/>
    </row>
    <row r="209" spans="1:69" s="83" customFormat="1" ht="12.75" hidden="1" customHeight="1" outlineLevel="1" x14ac:dyDescent="0.25">
      <c r="A209" s="473">
        <v>1</v>
      </c>
      <c r="B209" s="471" t="s">
        <v>59</v>
      </c>
      <c r="C209" s="111">
        <v>14</v>
      </c>
      <c r="D209" s="111" t="s">
        <v>60</v>
      </c>
      <c r="E209" s="113">
        <f>97*8</f>
        <v>776</v>
      </c>
      <c r="F209" s="198">
        <f>E209*C209*A209</f>
        <v>10864</v>
      </c>
      <c r="G209" s="156"/>
      <c r="H209" s="156"/>
      <c r="I209" s="6"/>
      <c r="J209" s="61"/>
      <c r="K209" s="38"/>
      <c r="L209" s="39"/>
      <c r="M209" s="248"/>
      <c r="N209" s="260"/>
      <c r="O209" s="261"/>
      <c r="P209" s="209"/>
      <c r="Q209" s="164"/>
      <c r="R209" s="239"/>
      <c r="S209" s="239"/>
      <c r="T209" s="288"/>
      <c r="U209" s="239"/>
      <c r="V209" s="115"/>
      <c r="W209" s="82"/>
      <c r="Y209" s="116"/>
      <c r="Z209" s="117"/>
    </row>
    <row r="210" spans="1:69" s="83" customFormat="1" ht="12.75" hidden="1" customHeight="1" outlineLevel="1" x14ac:dyDescent="0.25">
      <c r="A210" s="473">
        <v>1</v>
      </c>
      <c r="B210" s="471" t="s">
        <v>71</v>
      </c>
      <c r="C210" s="111">
        <v>14</v>
      </c>
      <c r="D210" s="111" t="s">
        <v>60</v>
      </c>
      <c r="E210" s="113">
        <f>81*8</f>
        <v>648</v>
      </c>
      <c r="F210" s="199">
        <f>E210*C210*A210</f>
        <v>9072</v>
      </c>
      <c r="G210" s="156"/>
      <c r="H210" s="156"/>
      <c r="I210" s="6"/>
      <c r="J210" s="61"/>
      <c r="K210" s="38"/>
      <c r="L210" s="39"/>
      <c r="M210" s="248"/>
      <c r="N210" s="260"/>
      <c r="O210" s="261"/>
      <c r="P210" s="209"/>
      <c r="Q210" s="164"/>
      <c r="R210" s="239"/>
      <c r="S210" s="239"/>
      <c r="T210" s="288"/>
      <c r="U210" s="239"/>
      <c r="V210" s="115"/>
      <c r="W210" s="82"/>
      <c r="Y210" s="116"/>
      <c r="Z210" s="117"/>
    </row>
    <row r="211" spans="1:69" s="83" customFormat="1" ht="12.75" hidden="1" customHeight="1" outlineLevel="1" x14ac:dyDescent="0.25">
      <c r="A211" s="155"/>
      <c r="B211" s="474"/>
      <c r="C211" s="58"/>
      <c r="D211" s="95" t="s">
        <v>61</v>
      </c>
      <c r="E211" s="475"/>
      <c r="F211" s="198">
        <f>SUM(F209:F210)</f>
        <v>19936</v>
      </c>
      <c r="G211" s="156"/>
      <c r="H211" s="156"/>
      <c r="I211" s="6"/>
      <c r="J211" s="61"/>
      <c r="K211" s="38"/>
      <c r="L211" s="39"/>
      <c r="M211" s="248"/>
      <c r="N211" s="260"/>
      <c r="O211" s="261"/>
      <c r="P211" s="209"/>
      <c r="Q211" s="164"/>
      <c r="R211" s="239"/>
      <c r="S211" s="239"/>
      <c r="T211" s="288"/>
      <c r="U211" s="239"/>
      <c r="V211" s="115"/>
      <c r="W211" s="82"/>
      <c r="Y211" s="116"/>
      <c r="Z211" s="117"/>
    </row>
    <row r="212" spans="1:69" s="83" customFormat="1" ht="12.75" hidden="1" customHeight="1" outlineLevel="1" x14ac:dyDescent="0.25">
      <c r="A212" s="155"/>
      <c r="B212" s="474"/>
      <c r="C212" s="58"/>
      <c r="D212" s="95"/>
      <c r="E212" s="475"/>
      <c r="F212" s="198">
        <f>F206*0.35</f>
        <v>126164.49999999999</v>
      </c>
      <c r="G212" s="156"/>
      <c r="H212" s="156"/>
      <c r="I212" s="6"/>
      <c r="J212" s="61"/>
      <c r="K212" s="38"/>
      <c r="L212" s="39"/>
      <c r="M212" s="248"/>
      <c r="N212" s="260"/>
      <c r="O212" s="261"/>
      <c r="P212" s="209"/>
      <c r="Q212" s="164"/>
      <c r="R212" s="239"/>
      <c r="S212" s="239"/>
      <c r="T212" s="288"/>
      <c r="U212" s="239"/>
      <c r="V212" s="115"/>
      <c r="W212" s="82"/>
      <c r="Y212" s="116"/>
      <c r="Z212" s="117"/>
    </row>
    <row r="213" spans="1:69" s="83" customFormat="1" ht="12.75" hidden="1" customHeight="1" outlineLevel="1" x14ac:dyDescent="0.25">
      <c r="A213" s="155"/>
      <c r="B213" s="131" t="s">
        <v>87</v>
      </c>
      <c r="C213" s="108" t="s">
        <v>43</v>
      </c>
      <c r="D213" s="108" t="s">
        <v>44</v>
      </c>
      <c r="E213" s="109" t="s">
        <v>45</v>
      </c>
      <c r="F213" s="197" t="s">
        <v>46</v>
      </c>
      <c r="G213" s="156"/>
      <c r="H213" s="156"/>
      <c r="I213" s="6"/>
      <c r="J213" s="61"/>
      <c r="K213" s="34"/>
      <c r="L213" s="96"/>
      <c r="M213" s="247"/>
      <c r="N213" s="252"/>
      <c r="O213" s="253"/>
      <c r="P213" s="267"/>
      <c r="Q213" s="253"/>
      <c r="R213" s="274"/>
      <c r="S213" s="276"/>
      <c r="T213" s="276"/>
      <c r="U213" s="276"/>
      <c r="V213" s="118"/>
      <c r="W213" s="82"/>
      <c r="Y213" s="119"/>
      <c r="Z213" s="120"/>
    </row>
    <row r="214" spans="1:69" s="83" customFormat="1" ht="12.75" hidden="1" customHeight="1" outlineLevel="1" x14ac:dyDescent="0.25">
      <c r="A214" s="155"/>
      <c r="B214" s="167" t="s">
        <v>90</v>
      </c>
      <c r="C214" s="106">
        <v>1</v>
      </c>
      <c r="D214" s="106" t="s">
        <v>15</v>
      </c>
      <c r="E214" s="107">
        <f>F212*0.1</f>
        <v>12616.449999999999</v>
      </c>
      <c r="F214" s="200">
        <f>E214*C214</f>
        <v>12616.449999999999</v>
      </c>
      <c r="G214" s="223"/>
      <c r="H214" s="156"/>
      <c r="I214" s="6"/>
      <c r="J214" s="61"/>
      <c r="K214" s="34"/>
      <c r="L214" s="96"/>
      <c r="M214" s="247"/>
      <c r="N214" s="252"/>
      <c r="O214" s="253"/>
      <c r="P214" s="267"/>
      <c r="Q214" s="253"/>
      <c r="R214" s="274"/>
      <c r="S214" s="276"/>
      <c r="T214" s="276"/>
      <c r="U214" s="276"/>
      <c r="V214" s="118"/>
      <c r="W214" s="82"/>
      <c r="Y214" s="119"/>
      <c r="Z214" s="120"/>
    </row>
    <row r="215" spans="1:69" s="83" customFormat="1" ht="12.75" hidden="1" customHeight="1" outlineLevel="1" x14ac:dyDescent="0.25">
      <c r="A215" s="155"/>
      <c r="B215" s="204"/>
      <c r="C215" s="58"/>
      <c r="D215" s="112" t="s">
        <v>88</v>
      </c>
      <c r="E215" s="42"/>
      <c r="F215" s="198">
        <f>F214</f>
        <v>12616.449999999999</v>
      </c>
      <c r="G215" s="156"/>
      <c r="H215" s="156"/>
      <c r="I215" s="6"/>
      <c r="J215" s="61"/>
      <c r="K215" s="34"/>
      <c r="L215" s="96"/>
      <c r="M215" s="247"/>
      <c r="N215" s="252"/>
      <c r="O215" s="253"/>
      <c r="P215" s="267"/>
      <c r="Q215" s="253"/>
      <c r="R215" s="274"/>
      <c r="S215" s="276"/>
      <c r="T215" s="276"/>
      <c r="U215" s="276"/>
      <c r="V215" s="118"/>
      <c r="W215" s="82"/>
      <c r="Y215" s="119"/>
      <c r="Z215" s="120"/>
    </row>
    <row r="216" spans="1:69" s="83" customFormat="1" ht="12.75" hidden="1" customHeight="1" outlineLevel="1" x14ac:dyDescent="0.25">
      <c r="A216" s="155"/>
      <c r="B216" s="474"/>
      <c r="C216" s="58"/>
      <c r="D216" s="95" t="s">
        <v>46</v>
      </c>
      <c r="E216" s="41"/>
      <c r="F216" s="202">
        <f>F211+F206+F215</f>
        <v>393022.45</v>
      </c>
      <c r="G216" s="156"/>
      <c r="H216" s="156"/>
      <c r="I216" s="6"/>
      <c r="J216" s="61"/>
      <c r="K216" s="38"/>
      <c r="L216" s="39"/>
      <c r="M216" s="248"/>
      <c r="N216" s="260"/>
      <c r="O216" s="261"/>
      <c r="P216" s="209"/>
      <c r="Q216" s="164"/>
      <c r="R216" s="239"/>
      <c r="S216" s="239"/>
      <c r="T216" s="288"/>
      <c r="U216" s="239"/>
      <c r="V216" s="115"/>
      <c r="W216" s="82"/>
      <c r="Y216" s="116"/>
      <c r="Z216" s="117"/>
    </row>
    <row r="217" spans="1:69" s="83" customFormat="1" ht="6.75" hidden="1" customHeight="1" outlineLevel="1" x14ac:dyDescent="0.25">
      <c r="A217" s="157"/>
      <c r="B217" s="191"/>
      <c r="C217" s="39"/>
      <c r="D217" s="79"/>
      <c r="E217" s="1"/>
      <c r="F217" s="164"/>
      <c r="G217" s="156"/>
      <c r="H217" s="156"/>
      <c r="I217" s="6"/>
      <c r="J217" s="15"/>
      <c r="K217" s="91"/>
      <c r="L217" s="39"/>
      <c r="M217" s="248"/>
      <c r="N217" s="260"/>
      <c r="O217" s="261"/>
      <c r="P217" s="209"/>
      <c r="Q217" s="164"/>
      <c r="R217" s="239"/>
      <c r="S217" s="239"/>
      <c r="T217" s="288"/>
      <c r="U217" s="239"/>
      <c r="V217" s="115"/>
      <c r="W217" s="82"/>
      <c r="Y217" s="116"/>
      <c r="Z217" s="120"/>
    </row>
    <row r="218" spans="1:69" s="114" customFormat="1" ht="7.2" hidden="1" customHeight="1" outlineLevel="1" thickBot="1" x14ac:dyDescent="0.3">
      <c r="A218" s="157"/>
      <c r="B218" s="468"/>
      <c r="C218" s="41"/>
      <c r="D218" s="41"/>
      <c r="E218" s="41"/>
      <c r="F218" s="194"/>
      <c r="G218" s="151"/>
      <c r="H218" s="157"/>
      <c r="I218" s="17"/>
      <c r="J218" s="17"/>
      <c r="K218" s="38"/>
      <c r="L218" s="39"/>
      <c r="M218" s="248"/>
      <c r="N218" s="260"/>
      <c r="O218" s="261"/>
      <c r="P218" s="209"/>
      <c r="Q218" s="194"/>
      <c r="R218" s="278"/>
      <c r="S218" s="278"/>
      <c r="T218" s="289"/>
      <c r="U218" s="278"/>
      <c r="V218" s="115"/>
      <c r="W218" s="121"/>
      <c r="Y218" s="122"/>
      <c r="Z218" s="123"/>
    </row>
    <row r="219" spans="1:69" s="1" customFormat="1" ht="12.75" hidden="1" customHeight="1" thickBot="1" x14ac:dyDescent="0.3">
      <c r="A219" s="368"/>
      <c r="B219" s="369"/>
      <c r="C219" s="369"/>
      <c r="D219" s="369"/>
      <c r="E219" s="369"/>
      <c r="F219" s="369"/>
      <c r="G219" s="371"/>
      <c r="H219" s="372"/>
      <c r="I219" s="350"/>
      <c r="J219" s="350"/>
      <c r="K219" s="350"/>
      <c r="L219" s="350"/>
      <c r="M219" s="370"/>
      <c r="N219" s="370"/>
      <c r="O219" s="370"/>
      <c r="P219" s="373"/>
      <c r="Q219" s="370"/>
      <c r="R219" s="374"/>
      <c r="S219" s="358" t="s">
        <v>17</v>
      </c>
      <c r="T219" s="359">
        <f>SUM(T191:T218)</f>
        <v>582151.50999999989</v>
      </c>
      <c r="U219" s="375"/>
      <c r="V219" s="47"/>
      <c r="W219" s="3"/>
    </row>
    <row r="220" spans="1:69" s="1" customFormat="1" ht="8.1" hidden="1" customHeight="1" x14ac:dyDescent="0.25">
      <c r="A220" s="156"/>
      <c r="B220" s="126"/>
      <c r="C220" s="53"/>
      <c r="D220" s="481"/>
      <c r="E220" s="481"/>
      <c r="F220" s="160"/>
      <c r="G220" s="140"/>
      <c r="H220" s="140"/>
      <c r="I220" s="53"/>
      <c r="J220" s="12"/>
      <c r="K220" s="12"/>
      <c r="L220" s="12"/>
      <c r="M220" s="235"/>
      <c r="N220" s="127"/>
      <c r="O220" s="160"/>
      <c r="P220" s="127"/>
      <c r="Q220" s="270"/>
      <c r="R220" s="140"/>
      <c r="S220" s="283"/>
      <c r="T220" s="283"/>
      <c r="U220" s="283"/>
      <c r="V220" s="48"/>
      <c r="W220" s="3"/>
    </row>
    <row r="221" spans="1:69" ht="7.5" hidden="1" customHeight="1" x14ac:dyDescent="0.25">
      <c r="A221" s="146"/>
      <c r="B221" s="136"/>
      <c r="F221" s="129"/>
      <c r="G221" s="224"/>
      <c r="H221" s="235"/>
      <c r="I221" s="12"/>
      <c r="J221" s="12"/>
      <c r="K221" s="12"/>
      <c r="L221" s="12"/>
      <c r="M221" s="231"/>
      <c r="N221" s="232"/>
      <c r="O221" s="249"/>
      <c r="P221" s="265"/>
      <c r="Q221" s="129"/>
      <c r="R221" s="229"/>
      <c r="S221" s="229"/>
      <c r="T221" s="229"/>
      <c r="U221" s="229"/>
    </row>
    <row r="222" spans="1:69" s="293" customFormat="1" ht="13.5" hidden="1" customHeight="1" x14ac:dyDescent="0.25">
      <c r="A222" s="334">
        <v>4</v>
      </c>
      <c r="B222" s="333" t="s">
        <v>38</v>
      </c>
      <c r="C222" s="336"/>
      <c r="D222" s="292"/>
      <c r="E222" s="292"/>
      <c r="F222" s="344"/>
      <c r="G222" s="295"/>
      <c r="H222" s="296"/>
      <c r="I222" s="298"/>
      <c r="J222" s="298"/>
      <c r="K222" s="298"/>
      <c r="L222" s="298"/>
      <c r="M222" s="327"/>
      <c r="N222" s="328"/>
      <c r="O222" s="329"/>
      <c r="P222" s="345"/>
      <c r="Q222" s="294"/>
      <c r="R222" s="332"/>
      <c r="S222" s="332"/>
      <c r="T222" s="332"/>
      <c r="U222" s="332"/>
      <c r="V222" s="47"/>
      <c r="W222" s="3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</row>
    <row r="223" spans="1:69" s="293" customFormat="1" ht="13.5" hidden="1" customHeight="1" x14ac:dyDescent="0.25">
      <c r="A223" s="290">
        <v>4.0999999999999996</v>
      </c>
      <c r="B223" s="333"/>
      <c r="C223" s="292" t="s">
        <v>37</v>
      </c>
      <c r="D223" s="292"/>
      <c r="E223" s="292"/>
      <c r="F223" s="344"/>
      <c r="G223" s="295"/>
      <c r="H223" s="296"/>
      <c r="I223" s="298"/>
      <c r="J223" s="298"/>
      <c r="K223" s="298"/>
      <c r="L223" s="298"/>
      <c r="M223" s="327"/>
      <c r="N223" s="328"/>
      <c r="O223" s="329"/>
      <c r="P223" s="345"/>
      <c r="Q223" s="294"/>
      <c r="R223" s="332"/>
      <c r="S223" s="332"/>
      <c r="T223" s="332"/>
      <c r="U223" s="332"/>
      <c r="V223" s="47"/>
      <c r="W223" s="3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</row>
    <row r="224" spans="1:69" s="293" customFormat="1" ht="13.5" hidden="1" customHeight="1" x14ac:dyDescent="0.25">
      <c r="A224" s="334"/>
      <c r="B224" s="325" t="s">
        <v>150</v>
      </c>
      <c r="C224" s="326" t="s">
        <v>96</v>
      </c>
      <c r="F224" s="294"/>
      <c r="G224" s="295"/>
      <c r="H224" s="296"/>
      <c r="I224" s="298"/>
      <c r="J224" s="298"/>
      <c r="K224" s="298"/>
      <c r="L224" s="298"/>
      <c r="M224" s="327"/>
      <c r="N224" s="328"/>
      <c r="O224" s="329"/>
      <c r="P224" s="345"/>
      <c r="Q224" s="294"/>
      <c r="R224" s="332"/>
      <c r="S224" s="332"/>
      <c r="T224" s="332"/>
      <c r="U224" s="332"/>
      <c r="V224" s="47"/>
      <c r="W224" s="3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</row>
    <row r="225" spans="1:69" s="343" customFormat="1" ht="13.5" hidden="1" customHeight="1" x14ac:dyDescent="0.25">
      <c r="A225" s="338"/>
      <c r="B225" s="291"/>
      <c r="C225" s="293" t="s">
        <v>194</v>
      </c>
      <c r="D225" s="293"/>
      <c r="E225" s="293"/>
      <c r="F225" s="294"/>
      <c r="G225" s="295">
        <f>D250</f>
        <v>178</v>
      </c>
      <c r="H225" s="296" t="s">
        <v>18</v>
      </c>
      <c r="I225" s="298"/>
      <c r="J225" s="298"/>
      <c r="K225" s="298"/>
      <c r="L225" s="298"/>
      <c r="M225" s="327">
        <f>250*G225</f>
        <v>44500</v>
      </c>
      <c r="N225" s="328">
        <f t="shared" ref="N225" si="46">ROUND(M225*0.12,2)</f>
        <v>5340</v>
      </c>
      <c r="O225" s="329">
        <f t="shared" ref="O225" si="47">ROUND(M225*0.08,2)</f>
        <v>3560</v>
      </c>
      <c r="P225" s="330">
        <v>0.25</v>
      </c>
      <c r="Q225" s="329">
        <f t="shared" ref="Q225" si="48">P225*M225</f>
        <v>11125</v>
      </c>
      <c r="R225" s="331">
        <f t="shared" ref="R225" si="49">ROUND((M225+Q225)*0.05,2)</f>
        <v>2781.25</v>
      </c>
      <c r="S225" s="332">
        <f t="shared" ref="S225" si="50">R225+Q225</f>
        <v>13906.25</v>
      </c>
      <c r="T225" s="332">
        <f t="shared" ref="T225" si="51">M225+S225</f>
        <v>58406.25</v>
      </c>
      <c r="U225" s="332">
        <f t="shared" ref="U225" si="52">T225/G225</f>
        <v>328.125</v>
      </c>
      <c r="V225" s="47"/>
      <c r="W225" s="7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</row>
    <row r="226" spans="1:69" ht="13.8" hidden="1" customHeight="1" outlineLevel="1" x14ac:dyDescent="0.25">
      <c r="A226" s="139"/>
      <c r="B226" s="163" t="s">
        <v>187</v>
      </c>
      <c r="C226" s="1"/>
      <c r="D226" s="43"/>
      <c r="E226" s="1"/>
      <c r="F226" s="164"/>
      <c r="G226" s="224"/>
      <c r="H226" s="235"/>
      <c r="I226" s="12"/>
      <c r="J226" s="12"/>
      <c r="K226" s="12"/>
      <c r="L226" s="12"/>
      <c r="M226" s="231"/>
      <c r="N226" s="232"/>
      <c r="O226" s="249"/>
      <c r="P226" s="266"/>
      <c r="Q226" s="249"/>
      <c r="R226" s="272"/>
      <c r="S226" s="229"/>
      <c r="T226" s="229"/>
      <c r="U226" s="229"/>
    </row>
    <row r="227" spans="1:69" ht="13.8" hidden="1" customHeight="1" outlineLevel="1" x14ac:dyDescent="0.25">
      <c r="A227" s="139"/>
      <c r="B227" s="163"/>
      <c r="C227" s="43" t="s">
        <v>77</v>
      </c>
      <c r="D227" s="43">
        <v>44.650000000000006</v>
      </c>
      <c r="E227" s="1" t="s">
        <v>81</v>
      </c>
      <c r="F227" s="164"/>
      <c r="G227" s="224"/>
      <c r="H227" s="235"/>
      <c r="I227" s="12"/>
      <c r="J227" s="12"/>
      <c r="K227" s="12"/>
      <c r="L227" s="12"/>
      <c r="M227" s="231"/>
      <c r="N227" s="232"/>
      <c r="O227" s="249"/>
      <c r="P227" s="266"/>
      <c r="Q227" s="249"/>
      <c r="R227" s="272"/>
      <c r="S227" s="229"/>
      <c r="T227" s="229"/>
      <c r="U227" s="229"/>
    </row>
    <row r="228" spans="1:69" ht="13.8" hidden="1" customHeight="1" outlineLevel="1" x14ac:dyDescent="0.25">
      <c r="A228" s="139"/>
      <c r="B228" s="163"/>
      <c r="C228" s="43" t="s">
        <v>80</v>
      </c>
      <c r="D228" s="43">
        <f>0.025*2</f>
        <v>0.05</v>
      </c>
      <c r="E228" s="1"/>
      <c r="F228" s="164"/>
      <c r="G228" s="224"/>
      <c r="H228" s="235"/>
      <c r="I228" s="12"/>
      <c r="J228" s="12"/>
      <c r="K228" s="12"/>
      <c r="L228" s="12"/>
      <c r="M228" s="231"/>
      <c r="N228" s="232"/>
      <c r="O228" s="249"/>
      <c r="P228" s="266"/>
      <c r="Q228" s="249"/>
      <c r="R228" s="272"/>
      <c r="S228" s="229"/>
      <c r="T228" s="229"/>
      <c r="U228" s="229"/>
    </row>
    <row r="229" spans="1:69" ht="13.8" hidden="1" customHeight="1" outlineLevel="1" x14ac:dyDescent="0.25">
      <c r="A229" s="139"/>
      <c r="B229" s="163"/>
      <c r="C229" s="43" t="s">
        <v>195</v>
      </c>
      <c r="D229" s="43">
        <f>0.05*2</f>
        <v>0.1</v>
      </c>
      <c r="E229" s="1"/>
      <c r="F229" s="164"/>
      <c r="G229" s="224"/>
      <c r="H229" s="235"/>
      <c r="I229" s="12"/>
      <c r="J229" s="12"/>
      <c r="K229" s="12"/>
      <c r="L229" s="12"/>
      <c r="M229" s="231"/>
      <c r="N229" s="232"/>
      <c r="O229" s="249"/>
      <c r="P229" s="266"/>
      <c r="Q229" s="249"/>
      <c r="R229" s="272"/>
      <c r="S229" s="229"/>
      <c r="T229" s="229"/>
      <c r="U229" s="229"/>
    </row>
    <row r="230" spans="1:69" ht="13.8" hidden="1" customHeight="1" outlineLevel="1" x14ac:dyDescent="0.25">
      <c r="A230" s="139"/>
      <c r="B230" s="163"/>
      <c r="C230" s="43" t="s">
        <v>43</v>
      </c>
      <c r="D230" s="43">
        <v>13</v>
      </c>
      <c r="E230" s="1" t="s">
        <v>65</v>
      </c>
      <c r="F230" s="164"/>
      <c r="G230" s="224"/>
      <c r="H230" s="235"/>
      <c r="I230" s="12"/>
      <c r="J230" s="12"/>
      <c r="K230" s="12"/>
      <c r="L230" s="12"/>
      <c r="M230" s="231"/>
      <c r="N230" s="232"/>
      <c r="O230" s="249"/>
      <c r="P230" s="266"/>
      <c r="Q230" s="249"/>
      <c r="R230" s="272"/>
      <c r="S230" s="229"/>
      <c r="T230" s="229"/>
      <c r="U230" s="229"/>
    </row>
    <row r="231" spans="1:69" s="47" customFormat="1" ht="13.8" hidden="1" customHeight="1" outlineLevel="1" x14ac:dyDescent="0.25">
      <c r="A231" s="139"/>
      <c r="B231" s="163"/>
      <c r="C231" s="43" t="s">
        <v>83</v>
      </c>
      <c r="D231" s="43">
        <f>(D228+D229)*D227*D230</f>
        <v>87.067500000000024</v>
      </c>
      <c r="E231" s="1" t="s">
        <v>186</v>
      </c>
      <c r="F231" s="164"/>
      <c r="G231" s="224"/>
      <c r="H231" s="235"/>
      <c r="I231" s="12"/>
      <c r="J231" s="12"/>
      <c r="K231" s="12"/>
      <c r="L231" s="12"/>
      <c r="M231" s="231"/>
      <c r="N231" s="232"/>
      <c r="O231" s="249"/>
      <c r="P231" s="266"/>
      <c r="Q231" s="249"/>
      <c r="R231" s="272"/>
      <c r="S231" s="229"/>
      <c r="T231" s="229"/>
      <c r="U231" s="229"/>
      <c r="W231" s="7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</row>
    <row r="232" spans="1:69" s="47" customFormat="1" ht="13.8" hidden="1" customHeight="1" outlineLevel="1" x14ac:dyDescent="0.25">
      <c r="A232" s="139"/>
      <c r="B232" s="163"/>
      <c r="C232" s="43"/>
      <c r="D232" s="43"/>
      <c r="E232" s="1"/>
      <c r="F232" s="164"/>
      <c r="G232" s="224"/>
      <c r="H232" s="235"/>
      <c r="I232" s="12"/>
      <c r="J232" s="12"/>
      <c r="K232" s="12"/>
      <c r="L232" s="12"/>
      <c r="M232" s="231"/>
      <c r="N232" s="232"/>
      <c r="O232" s="249"/>
      <c r="P232" s="266"/>
      <c r="Q232" s="249"/>
      <c r="R232" s="272"/>
      <c r="S232" s="229"/>
      <c r="T232" s="229"/>
      <c r="U232" s="229"/>
      <c r="W232" s="7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</row>
    <row r="233" spans="1:69" s="47" customFormat="1" ht="13.8" hidden="1" customHeight="1" outlineLevel="1" x14ac:dyDescent="0.25">
      <c r="A233" s="139"/>
      <c r="B233" s="163" t="s">
        <v>203</v>
      </c>
      <c r="C233" s="1"/>
      <c r="D233" s="43"/>
      <c r="E233" s="1"/>
      <c r="F233" s="164"/>
      <c r="G233" s="224"/>
      <c r="H233" s="235"/>
      <c r="I233" s="12"/>
      <c r="J233" s="12"/>
      <c r="K233" s="12"/>
      <c r="L233" s="12"/>
      <c r="M233" s="231"/>
      <c r="N233" s="232"/>
      <c r="O233" s="249"/>
      <c r="P233" s="266"/>
      <c r="Q233" s="249"/>
      <c r="R233" s="272"/>
      <c r="S233" s="229"/>
      <c r="T233" s="229"/>
      <c r="U233" s="229"/>
      <c r="W233" s="7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</row>
    <row r="234" spans="1:69" s="47" customFormat="1" ht="13.8" hidden="1" customHeight="1" outlineLevel="1" x14ac:dyDescent="0.25">
      <c r="A234" s="139"/>
      <c r="B234" s="163"/>
      <c r="C234" s="43" t="s">
        <v>77</v>
      </c>
      <c r="D234" s="43">
        <v>6</v>
      </c>
      <c r="E234" s="1" t="s">
        <v>81</v>
      </c>
      <c r="F234" s="164"/>
      <c r="G234" s="224"/>
      <c r="H234" s="235"/>
      <c r="I234" s="12"/>
      <c r="J234" s="12"/>
      <c r="K234" s="12"/>
      <c r="L234" s="12"/>
      <c r="M234" s="231"/>
      <c r="N234" s="232"/>
      <c r="O234" s="249"/>
      <c r="P234" s="266"/>
      <c r="Q234" s="249"/>
      <c r="R234" s="272"/>
      <c r="S234" s="229"/>
      <c r="T234" s="229"/>
      <c r="U234" s="229"/>
      <c r="W234" s="7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</row>
    <row r="235" spans="1:69" s="47" customFormat="1" ht="13.8" hidden="1" customHeight="1" outlineLevel="1" x14ac:dyDescent="0.25">
      <c r="A235" s="139"/>
      <c r="B235" s="163"/>
      <c r="C235" s="43" t="s">
        <v>80</v>
      </c>
      <c r="D235" s="43">
        <f>0.05*2</f>
        <v>0.1</v>
      </c>
      <c r="E235" s="6"/>
      <c r="F235" s="164"/>
      <c r="G235" s="224"/>
      <c r="H235" s="235"/>
      <c r="I235" s="12"/>
      <c r="J235" s="12"/>
      <c r="K235" s="12"/>
      <c r="L235" s="12"/>
      <c r="M235" s="231"/>
      <c r="N235" s="232"/>
      <c r="O235" s="249"/>
      <c r="P235" s="266"/>
      <c r="Q235" s="249"/>
      <c r="R235" s="272"/>
      <c r="S235" s="229"/>
      <c r="T235" s="229"/>
      <c r="U235" s="229"/>
      <c r="W235" s="7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</row>
    <row r="236" spans="1:69" s="47" customFormat="1" ht="13.8" hidden="1" customHeight="1" outlineLevel="1" x14ac:dyDescent="0.25">
      <c r="A236" s="139"/>
      <c r="B236" s="163"/>
      <c r="C236" s="43" t="s">
        <v>195</v>
      </c>
      <c r="D236" s="43">
        <f>0.1*2</f>
        <v>0.2</v>
      </c>
      <c r="E236" s="1"/>
      <c r="F236" s="164"/>
      <c r="G236" s="224"/>
      <c r="H236" s="235"/>
      <c r="I236" s="12"/>
      <c r="J236" s="12"/>
      <c r="K236" s="12"/>
      <c r="L236" s="12"/>
      <c r="M236" s="231"/>
      <c r="N236" s="232"/>
      <c r="O236" s="249"/>
      <c r="P236" s="266"/>
      <c r="Q236" s="249"/>
      <c r="R236" s="272"/>
      <c r="S236" s="229"/>
      <c r="T236" s="229"/>
      <c r="U236" s="229"/>
      <c r="W236" s="7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</row>
    <row r="237" spans="1:69" s="47" customFormat="1" ht="13.8" hidden="1" customHeight="1" outlineLevel="1" x14ac:dyDescent="0.25">
      <c r="A237" s="139"/>
      <c r="B237" s="163"/>
      <c r="C237" s="43" t="s">
        <v>43</v>
      </c>
      <c r="D237" s="43">
        <v>35</v>
      </c>
      <c r="E237" s="1" t="s">
        <v>81</v>
      </c>
      <c r="F237" s="164"/>
      <c r="G237" s="224"/>
      <c r="H237" s="235"/>
      <c r="I237" s="12"/>
      <c r="J237" s="12"/>
      <c r="K237" s="12"/>
      <c r="L237" s="12"/>
      <c r="M237" s="231"/>
      <c r="N237" s="232"/>
      <c r="O237" s="249"/>
      <c r="P237" s="266"/>
      <c r="Q237" s="249"/>
      <c r="R237" s="272"/>
      <c r="S237" s="229"/>
      <c r="T237" s="229"/>
      <c r="U237" s="229"/>
      <c r="W237" s="7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</row>
    <row r="238" spans="1:69" s="47" customFormat="1" ht="13.8" hidden="1" customHeight="1" outlineLevel="1" x14ac:dyDescent="0.25">
      <c r="A238" s="139"/>
      <c r="B238" s="163"/>
      <c r="C238" s="43" t="s">
        <v>83</v>
      </c>
      <c r="D238" s="43">
        <f>(D235+D236)*D234*D237</f>
        <v>63.000000000000007</v>
      </c>
      <c r="E238" s="1" t="s">
        <v>186</v>
      </c>
      <c r="F238" s="164"/>
      <c r="G238" s="224"/>
      <c r="H238" s="235"/>
      <c r="I238" s="12"/>
      <c r="J238" s="12"/>
      <c r="K238" s="12"/>
      <c r="L238" s="12"/>
      <c r="M238" s="231"/>
      <c r="N238" s="232"/>
      <c r="O238" s="249"/>
      <c r="P238" s="266"/>
      <c r="Q238" s="249"/>
      <c r="R238" s="272"/>
      <c r="S238" s="229"/>
      <c r="T238" s="229"/>
      <c r="U238" s="229"/>
      <c r="W238" s="7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</row>
    <row r="239" spans="1:69" s="47" customFormat="1" ht="13.8" hidden="1" customHeight="1" outlineLevel="1" x14ac:dyDescent="0.25">
      <c r="A239" s="139"/>
      <c r="B239" s="163"/>
      <c r="C239" s="6"/>
      <c r="D239" s="6"/>
      <c r="E239" s="6"/>
      <c r="F239" s="164"/>
      <c r="G239" s="224"/>
      <c r="H239" s="235"/>
      <c r="I239" s="12"/>
      <c r="J239" s="12"/>
      <c r="K239" s="12"/>
      <c r="L239" s="12"/>
      <c r="M239" s="231"/>
      <c r="N239" s="232"/>
      <c r="O239" s="249"/>
      <c r="P239" s="266"/>
      <c r="Q239" s="249"/>
      <c r="R239" s="272"/>
      <c r="S239" s="229"/>
      <c r="T239" s="229"/>
      <c r="U239" s="229"/>
      <c r="W239" s="7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</row>
    <row r="240" spans="1:69" s="47" customFormat="1" ht="13.8" hidden="1" customHeight="1" outlineLevel="1" x14ac:dyDescent="0.25">
      <c r="A240" s="139"/>
      <c r="B240" s="163"/>
      <c r="C240" s="43"/>
      <c r="D240" s="43"/>
      <c r="E240" s="1"/>
      <c r="F240" s="164"/>
      <c r="G240" s="224"/>
      <c r="H240" s="235"/>
      <c r="I240" s="12"/>
      <c r="J240" s="12"/>
      <c r="K240" s="12"/>
      <c r="L240" s="12"/>
      <c r="M240" s="231"/>
      <c r="N240" s="232"/>
      <c r="O240" s="249"/>
      <c r="P240" s="266"/>
      <c r="Q240" s="249"/>
      <c r="R240" s="272"/>
      <c r="S240" s="229"/>
      <c r="T240" s="229"/>
      <c r="U240" s="229"/>
      <c r="W240" s="7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</row>
    <row r="241" spans="1:69" s="47" customFormat="1" ht="13.8" hidden="1" customHeight="1" outlineLevel="1" x14ac:dyDescent="0.25">
      <c r="A241" s="139"/>
      <c r="B241" s="163" t="s">
        <v>188</v>
      </c>
      <c r="C241" s="1"/>
      <c r="D241" s="43"/>
      <c r="E241" s="1"/>
      <c r="F241" s="164"/>
      <c r="G241" s="224"/>
      <c r="H241" s="235"/>
      <c r="I241" s="12"/>
      <c r="J241" s="12"/>
      <c r="K241" s="12"/>
      <c r="L241" s="12"/>
      <c r="M241" s="231"/>
      <c r="N241" s="232"/>
      <c r="O241" s="249"/>
      <c r="P241" s="266"/>
      <c r="Q241" s="249"/>
      <c r="R241" s="272"/>
      <c r="S241" s="229"/>
      <c r="T241" s="229"/>
      <c r="U241" s="229"/>
      <c r="W241" s="7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</row>
    <row r="242" spans="1:69" s="47" customFormat="1" ht="13.8" hidden="1" customHeight="1" outlineLevel="1" x14ac:dyDescent="0.25">
      <c r="A242" s="139"/>
      <c r="B242" s="163"/>
      <c r="C242" s="43" t="s">
        <v>77</v>
      </c>
      <c r="D242" s="43">
        <v>77.48</v>
      </c>
      <c r="E242" s="1" t="s">
        <v>81</v>
      </c>
      <c r="F242" s="164"/>
      <c r="G242" s="224"/>
      <c r="H242" s="235"/>
      <c r="I242" s="12"/>
      <c r="J242" s="12"/>
      <c r="K242" s="12"/>
      <c r="L242" s="12"/>
      <c r="M242" s="231"/>
      <c r="N242" s="232"/>
      <c r="O242" s="249"/>
      <c r="P242" s="266"/>
      <c r="Q242" s="249"/>
      <c r="R242" s="272"/>
      <c r="S242" s="229"/>
      <c r="T242" s="229"/>
      <c r="U242" s="229"/>
      <c r="W242" s="7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</row>
    <row r="243" spans="1:69" s="47" customFormat="1" ht="13.8" hidden="1" customHeight="1" outlineLevel="1" x14ac:dyDescent="0.25">
      <c r="A243" s="139"/>
      <c r="B243" s="163"/>
      <c r="C243" s="43" t="s">
        <v>80</v>
      </c>
      <c r="D243" s="43">
        <f>0.05*2</f>
        <v>0.1</v>
      </c>
      <c r="E243" s="1"/>
      <c r="F243" s="164"/>
      <c r="G243" s="224"/>
      <c r="H243" s="235"/>
      <c r="I243" s="12"/>
      <c r="J243" s="12"/>
      <c r="K243" s="12"/>
      <c r="L243" s="12"/>
      <c r="M243" s="231"/>
      <c r="N243" s="232"/>
      <c r="O243" s="249"/>
      <c r="P243" s="266"/>
      <c r="Q243" s="249"/>
      <c r="R243" s="272"/>
      <c r="S243" s="229"/>
      <c r="T243" s="229"/>
      <c r="U243" s="229"/>
      <c r="W243" s="7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</row>
    <row r="244" spans="1:69" s="47" customFormat="1" ht="13.8" hidden="1" customHeight="1" outlineLevel="1" x14ac:dyDescent="0.25">
      <c r="A244" s="139"/>
      <c r="B244" s="163"/>
      <c r="C244" s="43" t="s">
        <v>195</v>
      </c>
      <c r="D244" s="43">
        <f>0.125*2</f>
        <v>0.25</v>
      </c>
      <c r="E244" s="1"/>
      <c r="F244" s="164"/>
      <c r="G244" s="224"/>
      <c r="H244" s="235"/>
      <c r="I244" s="12"/>
      <c r="J244" s="12"/>
      <c r="K244" s="12"/>
      <c r="L244" s="12"/>
      <c r="M244" s="231"/>
      <c r="N244" s="232"/>
      <c r="O244" s="249"/>
      <c r="P244" s="266"/>
      <c r="Q244" s="249"/>
      <c r="R244" s="272"/>
      <c r="S244" s="229"/>
      <c r="T244" s="229"/>
      <c r="U244" s="229"/>
      <c r="W244" s="7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</row>
    <row r="245" spans="1:69" s="47" customFormat="1" ht="17.399999999999999" hidden="1" customHeight="1" outlineLevel="1" x14ac:dyDescent="0.25">
      <c r="A245" s="139"/>
      <c r="B245" s="163"/>
      <c r="C245" s="43" t="s">
        <v>43</v>
      </c>
      <c r="D245" s="43">
        <v>1</v>
      </c>
      <c r="E245" s="1" t="s">
        <v>81</v>
      </c>
      <c r="F245" s="164"/>
      <c r="G245" s="224"/>
      <c r="H245" s="235"/>
      <c r="I245" s="12"/>
      <c r="J245" s="12"/>
      <c r="K245" s="12"/>
      <c r="L245" s="12"/>
      <c r="M245" s="231"/>
      <c r="N245" s="232"/>
      <c r="O245" s="249"/>
      <c r="P245" s="266"/>
      <c r="Q245" s="249"/>
      <c r="R245" s="272"/>
      <c r="S245" s="229"/>
      <c r="T245" s="229"/>
      <c r="U245" s="229"/>
      <c r="W245" s="7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</row>
    <row r="246" spans="1:69" s="47" customFormat="1" ht="13.8" hidden="1" customHeight="1" outlineLevel="1" x14ac:dyDescent="0.25">
      <c r="A246" s="139"/>
      <c r="B246" s="163"/>
      <c r="C246" s="43" t="s">
        <v>83</v>
      </c>
      <c r="D246" s="43">
        <f>(D243+D244)*D242*D245</f>
        <v>27.117999999999999</v>
      </c>
      <c r="E246" s="1" t="s">
        <v>186</v>
      </c>
      <c r="F246" s="164"/>
      <c r="G246" s="224"/>
      <c r="H246" s="235"/>
      <c r="I246" s="12"/>
      <c r="J246" s="12"/>
      <c r="K246" s="12"/>
      <c r="L246" s="12"/>
      <c r="M246" s="231"/>
      <c r="N246" s="232"/>
      <c r="O246" s="249"/>
      <c r="P246" s="266"/>
      <c r="Q246" s="249"/>
      <c r="R246" s="272"/>
      <c r="S246" s="229"/>
      <c r="T246" s="229"/>
      <c r="U246" s="229"/>
      <c r="W246" s="7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</row>
    <row r="247" spans="1:69" ht="13.8" hidden="1" customHeight="1" outlineLevel="1" x14ac:dyDescent="0.25">
      <c r="A247" s="139"/>
      <c r="B247" s="163"/>
      <c r="C247" s="43"/>
      <c r="D247" s="43"/>
      <c r="E247" s="1"/>
      <c r="F247" s="164"/>
      <c r="G247" s="224"/>
      <c r="H247" s="235"/>
      <c r="I247" s="12"/>
      <c r="J247" s="12"/>
      <c r="K247" s="12"/>
      <c r="L247" s="12"/>
      <c r="M247" s="231"/>
      <c r="N247" s="232"/>
      <c r="O247" s="249"/>
      <c r="P247" s="266"/>
      <c r="Q247" s="249"/>
      <c r="R247" s="272"/>
      <c r="S247" s="229"/>
      <c r="T247" s="229"/>
      <c r="U247" s="229"/>
    </row>
    <row r="248" spans="1:69" ht="13.8" hidden="1" customHeight="1" outlineLevel="1" x14ac:dyDescent="0.25">
      <c r="A248" s="139"/>
      <c r="B248" s="163"/>
      <c r="C248" s="43"/>
      <c r="D248" s="43"/>
      <c r="E248" s="1"/>
      <c r="F248" s="164"/>
      <c r="G248" s="224"/>
      <c r="H248" s="235"/>
      <c r="I248" s="12"/>
      <c r="J248" s="12"/>
      <c r="K248" s="12"/>
      <c r="L248" s="12"/>
      <c r="M248" s="231"/>
      <c r="N248" s="232"/>
      <c r="O248" s="249"/>
      <c r="P248" s="266"/>
      <c r="Q248" s="249"/>
      <c r="R248" s="272"/>
      <c r="S248" s="229"/>
      <c r="T248" s="229"/>
      <c r="U248" s="229"/>
    </row>
    <row r="249" spans="1:69" ht="6" hidden="1" customHeight="1" outlineLevel="1" x14ac:dyDescent="0.25">
      <c r="A249" s="139"/>
      <c r="B249" s="163"/>
      <c r="F249" s="129"/>
      <c r="G249" s="224"/>
      <c r="H249" s="235"/>
      <c r="I249" s="12"/>
      <c r="J249" s="12"/>
      <c r="K249" s="12"/>
      <c r="L249" s="12"/>
      <c r="M249" s="231"/>
      <c r="N249" s="232"/>
      <c r="O249" s="249"/>
      <c r="P249" s="266"/>
      <c r="Q249" s="249"/>
      <c r="R249" s="272"/>
      <c r="S249" s="229"/>
      <c r="T249" s="229"/>
      <c r="U249" s="229"/>
    </row>
    <row r="250" spans="1:69" ht="13.5" hidden="1" customHeight="1" outlineLevel="1" x14ac:dyDescent="0.25">
      <c r="A250" s="139"/>
      <c r="B250" s="163"/>
      <c r="C250" s="16" t="s">
        <v>84</v>
      </c>
      <c r="D250" s="125">
        <f>ROUNDUP(D231+D238+D246,0)</f>
        <v>178</v>
      </c>
      <c r="E250" s="16" t="s">
        <v>18</v>
      </c>
      <c r="F250" s="129"/>
      <c r="G250" s="224"/>
      <c r="H250" s="235"/>
      <c r="I250" s="12"/>
      <c r="J250" s="12"/>
      <c r="K250" s="12"/>
      <c r="L250" s="12"/>
      <c r="M250" s="231"/>
      <c r="N250" s="232"/>
      <c r="O250" s="249"/>
      <c r="P250" s="266"/>
      <c r="Q250" s="249"/>
      <c r="R250" s="272"/>
      <c r="S250" s="229"/>
      <c r="T250" s="229"/>
      <c r="U250" s="229"/>
    </row>
    <row r="251" spans="1:69" ht="8.1" hidden="1" customHeight="1" thickBot="1" x14ac:dyDescent="0.3">
      <c r="A251" s="139"/>
      <c r="B251" s="126"/>
      <c r="C251" s="53"/>
      <c r="D251" s="53"/>
      <c r="E251" s="53"/>
      <c r="F251" s="176"/>
      <c r="G251" s="139"/>
      <c r="H251" s="139"/>
      <c r="I251" s="12"/>
      <c r="J251" s="12"/>
      <c r="K251" s="12"/>
      <c r="L251" s="12"/>
      <c r="M251" s="139"/>
      <c r="N251" s="126"/>
      <c r="O251" s="176"/>
      <c r="P251" s="264"/>
      <c r="Q251" s="176"/>
      <c r="R251" s="271"/>
      <c r="S251" s="271"/>
      <c r="T251" s="271"/>
      <c r="U251" s="271"/>
    </row>
    <row r="252" spans="1:69" ht="14.1" hidden="1" customHeight="1" collapsed="1" thickBot="1" x14ac:dyDescent="0.3">
      <c r="A252" s="383"/>
      <c r="B252" s="426"/>
      <c r="C252" s="426"/>
      <c r="D252" s="382"/>
      <c r="E252" s="382"/>
      <c r="F252" s="382"/>
      <c r="G252" s="353"/>
      <c r="H252" s="350"/>
      <c r="I252" s="350"/>
      <c r="J252" s="350"/>
      <c r="K252" s="350"/>
      <c r="L252" s="350"/>
      <c r="M252" s="354"/>
      <c r="N252" s="354"/>
      <c r="O252" s="354"/>
      <c r="P252" s="355"/>
      <c r="Q252" s="354"/>
      <c r="R252" s="357"/>
      <c r="S252" s="358" t="s">
        <v>17</v>
      </c>
      <c r="T252" s="359">
        <f>SUM(T221:T251)</f>
        <v>58406.25</v>
      </c>
      <c r="U252" s="356"/>
    </row>
    <row r="253" spans="1:69" ht="7.5" hidden="1" customHeight="1" x14ac:dyDescent="0.25">
      <c r="A253" s="146"/>
      <c r="B253" s="136"/>
      <c r="F253" s="129"/>
      <c r="G253" s="224"/>
      <c r="H253" s="235"/>
      <c r="I253" s="12"/>
      <c r="J253" s="12"/>
      <c r="K253" s="12"/>
      <c r="L253" s="12"/>
      <c r="M253" s="231"/>
      <c r="N253" s="232"/>
      <c r="O253" s="249"/>
      <c r="P253" s="265"/>
      <c r="Q253" s="129"/>
      <c r="R253" s="229"/>
      <c r="S253" s="229"/>
      <c r="T253" s="229"/>
      <c r="U253" s="229"/>
    </row>
    <row r="254" spans="1:69" s="343" customFormat="1" ht="14.1" hidden="1" customHeight="1" x14ac:dyDescent="0.25">
      <c r="A254" s="334">
        <v>5</v>
      </c>
      <c r="B254" s="333" t="s">
        <v>21</v>
      </c>
      <c r="C254" s="336"/>
      <c r="D254" s="292"/>
      <c r="E254" s="292"/>
      <c r="F254" s="344"/>
      <c r="G254" s="346"/>
      <c r="H254" s="347"/>
      <c r="I254" s="298"/>
      <c r="J254" s="298"/>
      <c r="K254" s="298"/>
      <c r="L254" s="298"/>
      <c r="M254" s="300"/>
      <c r="N254" s="323"/>
      <c r="O254" s="302"/>
      <c r="P254" s="376"/>
      <c r="Q254" s="377"/>
      <c r="R254" s="305"/>
      <c r="S254" s="305"/>
      <c r="T254" s="351"/>
      <c r="U254" s="442"/>
      <c r="V254" s="47"/>
      <c r="W254" s="7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</row>
    <row r="255" spans="1:69" s="367" customFormat="1" ht="14.1" hidden="1" customHeight="1" x14ac:dyDescent="0.25">
      <c r="A255" s="290">
        <v>5.0999999999999996</v>
      </c>
      <c r="B255" s="335"/>
      <c r="C255" s="292" t="s">
        <v>196</v>
      </c>
      <c r="D255" s="292"/>
      <c r="E255" s="292"/>
      <c r="F255" s="344"/>
      <c r="G255" s="362"/>
      <c r="H255" s="338"/>
      <c r="I255" s="363"/>
      <c r="J255" s="363"/>
      <c r="K255" s="363"/>
      <c r="L255" s="363"/>
      <c r="M255" s="364"/>
      <c r="N255" s="365"/>
      <c r="O255" s="366"/>
      <c r="P255" s="341"/>
      <c r="Q255" s="384"/>
      <c r="R255" s="352"/>
      <c r="S255" s="352"/>
      <c r="T255" s="385"/>
      <c r="U255" s="442"/>
      <c r="V255" s="49"/>
      <c r="W255" s="20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</row>
    <row r="256" spans="1:69" s="343" customFormat="1" ht="14.1" hidden="1" customHeight="1" x14ac:dyDescent="0.25">
      <c r="A256" s="334"/>
      <c r="B256" s="325"/>
      <c r="C256" s="293" t="s">
        <v>197</v>
      </c>
      <c r="D256" s="293"/>
      <c r="E256" s="293"/>
      <c r="F256" s="294"/>
      <c r="G256" s="295">
        <v>6</v>
      </c>
      <c r="H256" s="296" t="s">
        <v>23</v>
      </c>
      <c r="I256" s="297">
        <f>F263</f>
        <v>4700</v>
      </c>
      <c r="J256" s="297">
        <f>F268</f>
        <v>1169</v>
      </c>
      <c r="K256" s="297">
        <f>F271</f>
        <v>116.9</v>
      </c>
      <c r="L256" s="299">
        <f>SUM(I256:K256)/G256</f>
        <v>997.65</v>
      </c>
      <c r="M256" s="327">
        <f>G256*2000</f>
        <v>12000</v>
      </c>
      <c r="N256" s="328">
        <f t="shared" ref="N256" si="53">ROUND(M256*0.12,2)</f>
        <v>1440</v>
      </c>
      <c r="O256" s="329">
        <f t="shared" ref="O256" si="54">ROUND(M256*0.08,2)</f>
        <v>960</v>
      </c>
      <c r="P256" s="330">
        <v>0.25</v>
      </c>
      <c r="Q256" s="329">
        <f>P256*M256</f>
        <v>3000</v>
      </c>
      <c r="R256" s="331">
        <f t="shared" ref="R256" si="55">ROUND((M256+Q256)*0.05,2)</f>
        <v>750</v>
      </c>
      <c r="S256" s="332">
        <f>R256+Q256</f>
        <v>3750</v>
      </c>
      <c r="T256" s="332">
        <f>M256+S256</f>
        <v>15750</v>
      </c>
      <c r="U256" s="332">
        <f>T256/G256</f>
        <v>2625</v>
      </c>
      <c r="V256" s="51"/>
      <c r="W256" s="7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</row>
    <row r="257" spans="1:26" ht="7.5" hidden="1" customHeight="1" outlineLevel="1" x14ac:dyDescent="0.25">
      <c r="A257" s="151"/>
      <c r="B257" s="193"/>
      <c r="C257" s="36"/>
      <c r="D257" s="33"/>
      <c r="E257" s="33"/>
      <c r="F257" s="165"/>
      <c r="G257" s="142"/>
      <c r="H257" s="142"/>
      <c r="I257" s="17"/>
      <c r="J257" s="38"/>
      <c r="K257" s="39"/>
      <c r="L257" s="80"/>
      <c r="M257" s="246"/>
      <c r="N257" s="191"/>
      <c r="O257" s="259"/>
      <c r="P257" s="188"/>
      <c r="Q257" s="206"/>
      <c r="R257" s="240"/>
      <c r="S257" s="281"/>
      <c r="T257" s="240"/>
      <c r="U257" s="150"/>
    </row>
    <row r="258" spans="1:26" ht="13.2" hidden="1" customHeight="1" outlineLevel="1" x14ac:dyDescent="0.25">
      <c r="A258" s="151"/>
      <c r="B258" s="210" t="s">
        <v>77</v>
      </c>
      <c r="C258" s="124">
        <f>3*5</f>
        <v>15</v>
      </c>
      <c r="D258" s="33"/>
      <c r="E258" s="33"/>
      <c r="F258" s="165"/>
      <c r="G258" s="142"/>
      <c r="H258" s="142"/>
      <c r="I258" s="17"/>
      <c r="J258" s="38"/>
      <c r="K258" s="39"/>
      <c r="L258" s="80"/>
      <c r="M258" s="246"/>
      <c r="N258" s="191"/>
      <c r="O258" s="259"/>
      <c r="P258" s="188"/>
      <c r="Q258" s="206"/>
      <c r="R258" s="240"/>
      <c r="S258" s="281"/>
      <c r="T258" s="240"/>
      <c r="U258" s="150"/>
    </row>
    <row r="259" spans="1:26" ht="13.2" hidden="1" customHeight="1" outlineLevel="1" x14ac:dyDescent="0.25">
      <c r="A259" s="151"/>
      <c r="B259" s="193"/>
      <c r="C259" s="36"/>
      <c r="D259" s="33"/>
      <c r="E259" s="33"/>
      <c r="F259" s="165"/>
      <c r="G259" s="142"/>
      <c r="H259" s="142"/>
      <c r="I259" s="17"/>
      <c r="J259" s="38"/>
      <c r="K259" s="39"/>
      <c r="L259" s="80"/>
      <c r="M259" s="246"/>
      <c r="N259" s="191"/>
      <c r="O259" s="259"/>
      <c r="P259" s="188"/>
      <c r="Q259" s="206"/>
      <c r="R259" s="240"/>
      <c r="S259" s="281"/>
      <c r="T259" s="240"/>
      <c r="U259" s="150"/>
    </row>
    <row r="260" spans="1:26" ht="12.75" hidden="1" customHeight="1" outlineLevel="1" x14ac:dyDescent="0.25">
      <c r="A260" s="155"/>
      <c r="B260" s="203" t="s">
        <v>41</v>
      </c>
      <c r="C260" s="59" t="s">
        <v>43</v>
      </c>
      <c r="D260" s="59" t="s">
        <v>44</v>
      </c>
      <c r="E260" s="59" t="s">
        <v>45</v>
      </c>
      <c r="F260" s="166" t="s">
        <v>46</v>
      </c>
      <c r="G260" s="150"/>
      <c r="H260" s="150"/>
      <c r="I260" s="61"/>
      <c r="J260" s="38"/>
      <c r="K260" s="39"/>
      <c r="L260" s="80"/>
      <c r="M260" s="246"/>
      <c r="N260" s="191"/>
      <c r="O260" s="259"/>
      <c r="P260" s="188"/>
      <c r="Q260" s="206"/>
      <c r="R260" s="240"/>
      <c r="S260" s="281"/>
      <c r="T260" s="240"/>
      <c r="U260" s="150"/>
    </row>
    <row r="261" spans="1:26" ht="12.75" hidden="1" customHeight="1" outlineLevel="1" x14ac:dyDescent="0.25">
      <c r="A261" s="155"/>
      <c r="B261" s="195" t="s">
        <v>95</v>
      </c>
      <c r="C261" s="62">
        <f>ROUNDUP(C258/3,0)+1</f>
        <v>6</v>
      </c>
      <c r="D261" s="62" t="s">
        <v>85</v>
      </c>
      <c r="E261" s="97">
        <v>700</v>
      </c>
      <c r="F261" s="168">
        <f>C261*E261</f>
        <v>4200</v>
      </c>
      <c r="G261" s="150"/>
      <c r="H261" s="150"/>
      <c r="I261" s="64"/>
      <c r="J261" s="38"/>
      <c r="K261" s="39"/>
      <c r="L261" s="80"/>
      <c r="M261" s="246"/>
      <c r="N261" s="191"/>
      <c r="O261" s="259"/>
      <c r="P261" s="188"/>
      <c r="Q261" s="206"/>
      <c r="R261" s="240"/>
      <c r="S261" s="281"/>
      <c r="T261" s="240"/>
      <c r="U261" s="150"/>
    </row>
    <row r="262" spans="1:26" ht="12.75" hidden="1" customHeight="1" outlineLevel="1" x14ac:dyDescent="0.25">
      <c r="A262" s="155"/>
      <c r="B262" s="195" t="s">
        <v>57</v>
      </c>
      <c r="C262" s="62">
        <v>1</v>
      </c>
      <c r="D262" s="62" t="s">
        <v>15</v>
      </c>
      <c r="E262" s="97">
        <v>500</v>
      </c>
      <c r="F262" s="169">
        <f>C262*E262</f>
        <v>500</v>
      </c>
      <c r="G262" s="150"/>
      <c r="H262" s="150"/>
      <c r="I262" s="64"/>
      <c r="J262" s="38"/>
      <c r="K262" s="39"/>
      <c r="L262" s="80"/>
      <c r="M262" s="246"/>
      <c r="N262" s="191"/>
      <c r="O262" s="259"/>
      <c r="P262" s="188"/>
      <c r="Q262" s="206"/>
      <c r="R262" s="240"/>
      <c r="S262" s="281"/>
      <c r="T262" s="240"/>
      <c r="U262" s="150"/>
    </row>
    <row r="263" spans="1:26" ht="12.75" hidden="1" customHeight="1" outlineLevel="1" x14ac:dyDescent="0.25">
      <c r="A263" s="155"/>
      <c r="B263" s="204"/>
      <c r="C263" s="65"/>
      <c r="D263" s="66" t="s">
        <v>58</v>
      </c>
      <c r="E263" s="33"/>
      <c r="F263" s="170">
        <f>SUM(F261:F262)</f>
        <v>4700</v>
      </c>
      <c r="G263" s="150"/>
      <c r="H263" s="150"/>
      <c r="I263" s="61"/>
      <c r="J263" s="38"/>
      <c r="K263" s="39"/>
      <c r="L263" s="80"/>
      <c r="M263" s="246"/>
      <c r="N263" s="191"/>
      <c r="O263" s="259"/>
      <c r="P263" s="188"/>
      <c r="Q263" s="206"/>
      <c r="R263" s="240"/>
      <c r="S263" s="281"/>
      <c r="T263" s="240"/>
      <c r="U263" s="150"/>
    </row>
    <row r="264" spans="1:26" s="17" customFormat="1" ht="12.75" hidden="1" customHeight="1" outlineLevel="1" x14ac:dyDescent="0.25">
      <c r="A264" s="153" t="s">
        <v>47</v>
      </c>
      <c r="B264" s="203" t="s">
        <v>42</v>
      </c>
      <c r="C264" s="59" t="s">
        <v>43</v>
      </c>
      <c r="D264" s="59" t="s">
        <v>44</v>
      </c>
      <c r="E264" s="59" t="s">
        <v>45</v>
      </c>
      <c r="F264" s="166" t="s">
        <v>46</v>
      </c>
      <c r="G264" s="142"/>
      <c r="H264" s="142"/>
      <c r="J264" s="38"/>
      <c r="K264" s="39"/>
      <c r="L264" s="80"/>
      <c r="M264" s="246"/>
      <c r="N264" s="191"/>
      <c r="O264" s="259"/>
      <c r="P264" s="128"/>
      <c r="Q264" s="206"/>
      <c r="R264" s="240"/>
      <c r="S264" s="281"/>
      <c r="T264" s="240"/>
      <c r="U264" s="142"/>
      <c r="V264" s="93"/>
      <c r="W264" s="54"/>
    </row>
    <row r="265" spans="1:26" s="17" customFormat="1" ht="12.75" hidden="1" customHeight="1" outlineLevel="1" x14ac:dyDescent="0.25">
      <c r="A265" s="154">
        <v>1</v>
      </c>
      <c r="B265" s="205" t="s">
        <v>89</v>
      </c>
      <c r="C265" s="65">
        <v>1</v>
      </c>
      <c r="D265" s="65" t="s">
        <v>60</v>
      </c>
      <c r="E265" s="98">
        <f>101*8</f>
        <v>808</v>
      </c>
      <c r="F265" s="171">
        <f>E265*C265*A265</f>
        <v>808</v>
      </c>
      <c r="G265" s="142"/>
      <c r="H265" s="142"/>
      <c r="K265" s="38"/>
      <c r="L265" s="39"/>
      <c r="M265" s="246"/>
      <c r="N265" s="191"/>
      <c r="O265" s="259"/>
      <c r="P265" s="191"/>
      <c r="Q265" s="130"/>
      <c r="R265" s="240"/>
      <c r="S265" s="240"/>
      <c r="T265" s="281"/>
      <c r="U265" s="240"/>
      <c r="V265" s="93"/>
      <c r="W265" s="54"/>
      <c r="X265" s="88"/>
    </row>
    <row r="266" spans="1:26" s="17" customFormat="1" ht="12.75" hidden="1" customHeight="1" outlineLevel="1" x14ac:dyDescent="0.25">
      <c r="A266" s="154">
        <v>1</v>
      </c>
      <c r="B266" s="205" t="s">
        <v>59</v>
      </c>
      <c r="C266" s="65">
        <v>1</v>
      </c>
      <c r="D266" s="65" t="s">
        <v>60</v>
      </c>
      <c r="E266" s="98">
        <v>603</v>
      </c>
      <c r="F266" s="171">
        <f>E266*C266*A266</f>
        <v>603</v>
      </c>
      <c r="G266" s="142"/>
      <c r="H266" s="142"/>
      <c r="J266" s="38"/>
      <c r="K266" s="39"/>
      <c r="L266" s="80"/>
      <c r="M266" s="246"/>
      <c r="N266" s="191"/>
      <c r="O266" s="259"/>
      <c r="P266" s="128"/>
      <c r="Q266" s="206"/>
      <c r="R266" s="240"/>
      <c r="S266" s="281"/>
      <c r="T266" s="240"/>
      <c r="U266" s="142"/>
      <c r="V266" s="93"/>
      <c r="W266" s="54"/>
    </row>
    <row r="267" spans="1:26" s="17" customFormat="1" ht="12.75" hidden="1" customHeight="1" outlineLevel="1" x14ac:dyDescent="0.25">
      <c r="A267" s="154">
        <v>1</v>
      </c>
      <c r="B267" s="205" t="s">
        <v>71</v>
      </c>
      <c r="C267" s="65">
        <v>1</v>
      </c>
      <c r="D267" s="65" t="s">
        <v>60</v>
      </c>
      <c r="E267" s="98">
        <v>566</v>
      </c>
      <c r="F267" s="172">
        <f>E267*C267*A267</f>
        <v>566</v>
      </c>
      <c r="G267" s="142"/>
      <c r="H267" s="142"/>
      <c r="J267" s="38"/>
      <c r="K267" s="39"/>
      <c r="L267" s="80"/>
      <c r="M267" s="246"/>
      <c r="N267" s="191"/>
      <c r="O267" s="259"/>
      <c r="P267" s="128"/>
      <c r="Q267" s="206"/>
      <c r="R267" s="240"/>
      <c r="S267" s="281"/>
      <c r="T267" s="240"/>
      <c r="U267" s="142"/>
      <c r="V267" s="93"/>
      <c r="W267" s="54"/>
    </row>
    <row r="268" spans="1:26" ht="12.75" hidden="1" customHeight="1" outlineLevel="1" x14ac:dyDescent="0.25">
      <c r="A268" s="155"/>
      <c r="B268" s="204"/>
      <c r="C268" s="58"/>
      <c r="D268" s="66" t="s">
        <v>61</v>
      </c>
      <c r="E268" s="33"/>
      <c r="F268" s="172">
        <f>SUM(F266:F267)</f>
        <v>1169</v>
      </c>
      <c r="G268" s="150"/>
      <c r="H268" s="150"/>
      <c r="I268" s="61"/>
      <c r="J268" s="38"/>
      <c r="K268" s="39"/>
      <c r="L268" s="80"/>
      <c r="M268" s="246"/>
      <c r="N268" s="191"/>
      <c r="O268" s="259"/>
      <c r="P268" s="188"/>
      <c r="Q268" s="206"/>
      <c r="R268" s="240"/>
      <c r="S268" s="281"/>
      <c r="T268" s="240"/>
      <c r="U268" s="150"/>
    </row>
    <row r="269" spans="1:26" ht="12.75" hidden="1" customHeight="1" outlineLevel="1" x14ac:dyDescent="0.25">
      <c r="A269" s="155"/>
      <c r="B269" s="203" t="s">
        <v>87</v>
      </c>
      <c r="C269" s="59" t="s">
        <v>43</v>
      </c>
      <c r="D269" s="59" t="s">
        <v>44</v>
      </c>
      <c r="E269" s="59" t="s">
        <v>45</v>
      </c>
      <c r="F269" s="166" t="s">
        <v>46</v>
      </c>
      <c r="G269" s="150"/>
      <c r="H269" s="150"/>
      <c r="J269" s="61"/>
      <c r="K269" s="34"/>
      <c r="L269" s="34"/>
      <c r="M269" s="241"/>
      <c r="N269" s="251"/>
      <c r="O269" s="254"/>
      <c r="P269" s="251"/>
      <c r="Q269" s="129"/>
      <c r="R269" s="273"/>
      <c r="S269" s="273"/>
      <c r="T269" s="281"/>
      <c r="U269" s="273"/>
      <c r="V269" s="50"/>
      <c r="Y269" s="87"/>
      <c r="Z269" s="90"/>
    </row>
    <row r="270" spans="1:26" ht="12.75" hidden="1" customHeight="1" outlineLevel="1" x14ac:dyDescent="0.25">
      <c r="A270" s="155"/>
      <c r="B270" s="195" t="s">
        <v>90</v>
      </c>
      <c r="C270" s="62">
        <v>1</v>
      </c>
      <c r="D270" s="62" t="s">
        <v>15</v>
      </c>
      <c r="E270" s="97">
        <f>F268*0.1</f>
        <v>116.9</v>
      </c>
      <c r="F270" s="169">
        <f>E270*C270</f>
        <v>116.9</v>
      </c>
      <c r="G270" s="226"/>
      <c r="H270" s="150"/>
      <c r="J270" s="61"/>
      <c r="K270" s="34"/>
      <c r="L270" s="34"/>
      <c r="M270" s="241"/>
      <c r="N270" s="251"/>
      <c r="O270" s="254"/>
      <c r="P270" s="251"/>
      <c r="Q270" s="129"/>
      <c r="R270" s="273"/>
      <c r="S270" s="273"/>
      <c r="T270" s="281"/>
      <c r="U270" s="273"/>
      <c r="V270" s="50"/>
      <c r="Y270" s="87"/>
      <c r="Z270" s="90"/>
    </row>
    <row r="271" spans="1:26" ht="15" hidden="1" customHeight="1" outlineLevel="1" x14ac:dyDescent="0.25">
      <c r="A271" s="155"/>
      <c r="B271" s="204"/>
      <c r="C271" s="58"/>
      <c r="D271" s="99" t="s">
        <v>88</v>
      </c>
      <c r="E271" s="33"/>
      <c r="F271" s="173">
        <f>F270</f>
        <v>116.9</v>
      </c>
      <c r="G271" s="150"/>
      <c r="H271" s="150"/>
      <c r="J271" s="61"/>
      <c r="K271" s="34"/>
      <c r="L271" s="34"/>
      <c r="M271" s="241"/>
      <c r="N271" s="251"/>
      <c r="O271" s="254"/>
      <c r="P271" s="251"/>
      <c r="Q271" s="129"/>
      <c r="R271" s="273"/>
      <c r="S271" s="273"/>
      <c r="T271" s="281"/>
      <c r="U271" s="273"/>
      <c r="V271" s="50"/>
      <c r="Y271" s="87"/>
      <c r="Z271" s="90"/>
    </row>
    <row r="272" spans="1:26" ht="12.75" hidden="1" customHeight="1" outlineLevel="1" x14ac:dyDescent="0.25">
      <c r="A272" s="155"/>
      <c r="B272" s="204"/>
      <c r="C272" s="58"/>
      <c r="D272" s="66" t="s">
        <v>46</v>
      </c>
      <c r="E272" s="33"/>
      <c r="F272" s="174">
        <f>F268+F263</f>
        <v>5869</v>
      </c>
      <c r="G272" s="150"/>
      <c r="H272" s="150"/>
      <c r="I272" s="61"/>
      <c r="J272" s="38"/>
      <c r="K272" s="39"/>
      <c r="L272" s="80"/>
      <c r="M272" s="246"/>
      <c r="N272" s="191"/>
      <c r="O272" s="259"/>
      <c r="P272" s="188"/>
      <c r="Q272" s="206"/>
      <c r="R272" s="240"/>
      <c r="S272" s="281"/>
      <c r="T272" s="240"/>
      <c r="U272" s="150"/>
    </row>
    <row r="273" spans="1:69" ht="7.5" hidden="1" customHeight="1" outlineLevel="1" x14ac:dyDescent="0.25">
      <c r="A273" s="151"/>
      <c r="B273" s="193"/>
      <c r="C273" s="36"/>
      <c r="D273" s="33"/>
      <c r="E273" s="33"/>
      <c r="F273" s="165"/>
      <c r="G273" s="142"/>
      <c r="H273" s="142"/>
      <c r="I273" s="17"/>
      <c r="J273" s="38"/>
      <c r="K273" s="39"/>
      <c r="L273" s="80"/>
      <c r="M273" s="246"/>
      <c r="N273" s="191"/>
      <c r="O273" s="259"/>
      <c r="P273" s="188"/>
      <c r="Q273" s="206"/>
      <c r="R273" s="240"/>
      <c r="S273" s="281"/>
      <c r="T273" s="240"/>
      <c r="U273" s="150"/>
    </row>
    <row r="274" spans="1:69" s="343" customFormat="1" ht="14.1" hidden="1" customHeight="1" collapsed="1" x14ac:dyDescent="0.25">
      <c r="A274" s="334"/>
      <c r="B274" s="325"/>
      <c r="C274" s="293" t="s">
        <v>198</v>
      </c>
      <c r="D274" s="293"/>
      <c r="E274" s="293"/>
      <c r="F274" s="294"/>
      <c r="G274" s="295">
        <v>1</v>
      </c>
      <c r="H274" s="296" t="s">
        <v>15</v>
      </c>
      <c r="I274" s="297"/>
      <c r="J274" s="297"/>
      <c r="K274" s="297"/>
      <c r="L274" s="299"/>
      <c r="M274" s="327">
        <v>5000</v>
      </c>
      <c r="N274" s="328">
        <f t="shared" ref="N274" si="56">ROUND(M274*0.12,2)</f>
        <v>600</v>
      </c>
      <c r="O274" s="329">
        <f t="shared" ref="O274:O275" si="57">ROUND(M274*0.08,2)</f>
        <v>400</v>
      </c>
      <c r="P274" s="330">
        <v>0.25</v>
      </c>
      <c r="Q274" s="329">
        <f>P274*M274</f>
        <v>1250</v>
      </c>
      <c r="R274" s="331">
        <f t="shared" ref="R274:R275" si="58">ROUND((M274+Q274)*0.05,2)</f>
        <v>312.5</v>
      </c>
      <c r="S274" s="332">
        <f>R274+Q274</f>
        <v>1562.5</v>
      </c>
      <c r="T274" s="332">
        <f>M274+S274</f>
        <v>6562.5</v>
      </c>
      <c r="U274" s="332">
        <f>T274/G274</f>
        <v>6562.5</v>
      </c>
      <c r="V274" s="47"/>
      <c r="W274" s="7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</row>
    <row r="275" spans="1:69" s="343" customFormat="1" ht="14.1" hidden="1" customHeight="1" x14ac:dyDescent="0.25">
      <c r="A275" s="334"/>
      <c r="B275" s="325"/>
      <c r="C275" s="293" t="s">
        <v>22</v>
      </c>
      <c r="D275" s="293"/>
      <c r="E275" s="293"/>
      <c r="F275" s="294"/>
      <c r="G275" s="295">
        <v>1</v>
      </c>
      <c r="H275" s="296" t="s">
        <v>15</v>
      </c>
      <c r="I275" s="298"/>
      <c r="J275" s="298"/>
      <c r="K275" s="298"/>
      <c r="L275" s="298"/>
      <c r="M275" s="327">
        <f>(M274+M256)*0.1</f>
        <v>1700</v>
      </c>
      <c r="N275" s="386">
        <v>0</v>
      </c>
      <c r="O275" s="329">
        <f t="shared" si="57"/>
        <v>136</v>
      </c>
      <c r="P275" s="330">
        <v>0.1</v>
      </c>
      <c r="Q275" s="329">
        <f t="shared" ref="Q275" si="59">P275*M275</f>
        <v>170</v>
      </c>
      <c r="R275" s="331">
        <f t="shared" si="58"/>
        <v>93.5</v>
      </c>
      <c r="S275" s="332">
        <f t="shared" ref="S275" si="60">R275+Q275</f>
        <v>263.5</v>
      </c>
      <c r="T275" s="332">
        <f t="shared" ref="T275" si="61">M275+S275</f>
        <v>1963.5</v>
      </c>
      <c r="U275" s="332">
        <f t="shared" ref="U275" si="62">T275/G275</f>
        <v>1963.5</v>
      </c>
      <c r="V275" s="47"/>
      <c r="W275" s="7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</row>
    <row r="276" spans="1:69" ht="12" hidden="1" customHeight="1" thickBot="1" x14ac:dyDescent="0.3">
      <c r="A276" s="140"/>
      <c r="B276" s="161"/>
      <c r="C276" s="482"/>
      <c r="D276" s="1"/>
      <c r="E276" s="1"/>
      <c r="F276" s="164"/>
      <c r="G276" s="224"/>
      <c r="H276" s="235"/>
      <c r="I276" s="12"/>
      <c r="J276" s="12"/>
      <c r="K276" s="12"/>
      <c r="L276" s="12"/>
      <c r="M276" s="231"/>
      <c r="N276" s="232"/>
      <c r="O276" s="249"/>
      <c r="P276" s="265"/>
      <c r="Q276" s="129"/>
      <c r="R276" s="229"/>
      <c r="S276" s="229"/>
      <c r="T276" s="282"/>
      <c r="U276" s="443"/>
    </row>
    <row r="277" spans="1:69" ht="12.75" hidden="1" customHeight="1" thickBot="1" x14ac:dyDescent="0.3">
      <c r="A277" s="349"/>
      <c r="B277" s="606"/>
      <c r="C277" s="606"/>
      <c r="D277" s="606"/>
      <c r="E277" s="479"/>
      <c r="F277" s="479"/>
      <c r="G277" s="353"/>
      <c r="H277" s="350"/>
      <c r="I277" s="350"/>
      <c r="J277" s="350"/>
      <c r="K277" s="350"/>
      <c r="L277" s="350"/>
      <c r="M277" s="380"/>
      <c r="N277" s="354"/>
      <c r="O277" s="354"/>
      <c r="P277" s="381"/>
      <c r="Q277" s="382"/>
      <c r="R277" s="357"/>
      <c r="S277" s="358" t="s">
        <v>17</v>
      </c>
      <c r="T277" s="359">
        <f>SUM(T253:T276)</f>
        <v>24276</v>
      </c>
      <c r="U277" s="360"/>
      <c r="V277" s="47">
        <f>SUM(T8:T277)/2</f>
        <v>1015589.8149999999</v>
      </c>
      <c r="W277" s="7" t="e">
        <f>SUM(T277,#REF!,#REF!,T252,#REF!,#REF!,#REF!,T219,#REF!,#REF!,T144,T95)</f>
        <v>#REF!</v>
      </c>
    </row>
    <row r="278" spans="1:69" s="400" customFormat="1" ht="12.75" hidden="1" customHeight="1" x14ac:dyDescent="0.25">
      <c r="A278" s="389">
        <v>14</v>
      </c>
      <c r="B278" s="390" t="s">
        <v>99</v>
      </c>
      <c r="C278" s="391"/>
      <c r="D278" s="391"/>
      <c r="E278" s="391"/>
      <c r="F278" s="392"/>
      <c r="G278" s="393"/>
      <c r="H278" s="393"/>
      <c r="I278" s="391"/>
      <c r="J278" s="391"/>
      <c r="K278" s="394"/>
      <c r="L278" s="395"/>
      <c r="M278" s="396"/>
      <c r="N278" s="397"/>
      <c r="O278" s="398"/>
      <c r="P278" s="303"/>
      <c r="Q278" s="398"/>
      <c r="R278" s="399"/>
      <c r="S278" s="396"/>
      <c r="T278" s="396"/>
      <c r="U278" s="444"/>
      <c r="V278" s="54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</row>
    <row r="279" spans="1:69" s="400" customFormat="1" ht="12.75" hidden="1" customHeight="1" x14ac:dyDescent="0.25">
      <c r="A279" s="401">
        <v>14.5</v>
      </c>
      <c r="B279" s="412" t="s">
        <v>100</v>
      </c>
      <c r="C279" s="413"/>
      <c r="D279" s="417"/>
      <c r="E279" s="417"/>
      <c r="F279" s="418"/>
      <c r="G279" s="415"/>
      <c r="H279" s="416"/>
      <c r="I279" s="417"/>
      <c r="J279" s="417"/>
      <c r="M279" s="396"/>
      <c r="N279" s="397"/>
      <c r="O279" s="398"/>
      <c r="P279" s="303"/>
      <c r="Q279" s="398"/>
      <c r="R279" s="399"/>
      <c r="S279" s="396"/>
      <c r="T279" s="396"/>
      <c r="U279" s="444"/>
      <c r="V279" s="56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</row>
    <row r="280" spans="1:69" s="400" customFormat="1" ht="25.5" hidden="1" customHeight="1" x14ac:dyDescent="0.25">
      <c r="A280" s="419"/>
      <c r="B280" s="402" t="s">
        <v>122</v>
      </c>
      <c r="C280" s="607" t="s">
        <v>152</v>
      </c>
      <c r="D280" s="607"/>
      <c r="E280" s="607"/>
      <c r="F280" s="608"/>
      <c r="G280" s="403">
        <v>14</v>
      </c>
      <c r="H280" s="403" t="s">
        <v>50</v>
      </c>
      <c r="I280" s="411"/>
      <c r="J280" s="411"/>
      <c r="M280" s="404"/>
      <c r="N280" s="328">
        <f t="shared" ref="N280" si="63">ROUND(M280*0.12,2)</f>
        <v>0</v>
      </c>
      <c r="O280" s="329">
        <f t="shared" ref="O280" si="64">ROUND(M280*0.08,2)</f>
        <v>0</v>
      </c>
      <c r="P280" s="330">
        <v>0.25</v>
      </c>
      <c r="Q280" s="329">
        <f t="shared" ref="Q280" si="65">P280*M280</f>
        <v>0</v>
      </c>
      <c r="R280" s="331">
        <f t="shared" ref="R280" si="66">ROUND((M280+Q280)*0.05,2)</f>
        <v>0</v>
      </c>
      <c r="S280" s="332">
        <f t="shared" ref="S280" si="67">R280+Q280</f>
        <v>0</v>
      </c>
      <c r="T280" s="332">
        <f t="shared" ref="T280" si="68">M280+S280</f>
        <v>0</v>
      </c>
      <c r="U280" s="332">
        <f t="shared" ref="U280" si="69">T280/G280</f>
        <v>0</v>
      </c>
      <c r="V280" s="56"/>
      <c r="W280" s="15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</row>
    <row r="281" spans="1:69" s="17" customFormat="1" ht="12.75" hidden="1" customHeight="1" outlineLevel="1" x14ac:dyDescent="0.25">
      <c r="A281" s="152"/>
      <c r="B281" s="211" t="s">
        <v>97</v>
      </c>
      <c r="C281" s="32"/>
      <c r="F281" s="130"/>
      <c r="G281" s="230"/>
      <c r="H281" s="228"/>
      <c r="M281" s="150"/>
      <c r="N281" s="262"/>
      <c r="O281" s="206"/>
      <c r="P281" s="330"/>
      <c r="Q281" s="206"/>
      <c r="R281" s="240"/>
      <c r="S281" s="150"/>
      <c r="T281" s="150"/>
      <c r="U281" s="445"/>
      <c r="V281" s="7"/>
      <c r="W281" s="6"/>
    </row>
    <row r="282" spans="1:69" s="17" customFormat="1" ht="12.75" hidden="1" customHeight="1" outlineLevel="1" x14ac:dyDescent="0.25">
      <c r="A282" s="144"/>
      <c r="B282" s="211" t="s">
        <v>97</v>
      </c>
      <c r="C282" s="54"/>
      <c r="D282" s="76" t="s">
        <v>41</v>
      </c>
      <c r="E282" s="60" t="s">
        <v>43</v>
      </c>
      <c r="F282" s="183" t="s">
        <v>44</v>
      </c>
      <c r="G282" s="230"/>
      <c r="H282" s="228"/>
      <c r="I282" s="60"/>
      <c r="J282" s="61"/>
      <c r="M282" s="150"/>
      <c r="N282" s="262"/>
      <c r="O282" s="206"/>
      <c r="P282" s="330"/>
      <c r="Q282" s="206"/>
      <c r="R282" s="240"/>
      <c r="S282" s="150"/>
      <c r="T282" s="150"/>
      <c r="U282" s="445"/>
      <c r="V282" s="7"/>
      <c r="W282" s="6"/>
    </row>
    <row r="283" spans="1:69" s="17" customFormat="1" ht="12.75" hidden="1" customHeight="1" outlineLevel="1" x14ac:dyDescent="0.25">
      <c r="A283" s="144"/>
      <c r="B283" s="211" t="s">
        <v>97</v>
      </c>
      <c r="C283" s="54"/>
      <c r="D283" s="77"/>
      <c r="E283" s="78">
        <v>1</v>
      </c>
      <c r="F283" s="218" t="s">
        <v>15</v>
      </c>
      <c r="G283" s="230"/>
      <c r="H283" s="228"/>
      <c r="I283" s="63"/>
      <c r="J283" s="64"/>
      <c r="M283" s="150"/>
      <c r="N283" s="262"/>
      <c r="O283" s="206"/>
      <c r="P283" s="330"/>
      <c r="Q283" s="206"/>
      <c r="R283" s="240"/>
      <c r="S283" s="150"/>
      <c r="T283" s="150"/>
      <c r="U283" s="445"/>
      <c r="V283" s="7"/>
      <c r="W283" s="6"/>
    </row>
    <row r="284" spans="1:69" s="17" customFormat="1" ht="12.75" hidden="1" customHeight="1" outlineLevel="1" x14ac:dyDescent="0.25">
      <c r="A284" s="144"/>
      <c r="B284" s="211" t="s">
        <v>97</v>
      </c>
      <c r="C284" s="54"/>
      <c r="D284" s="54"/>
      <c r="E284" s="64"/>
      <c r="F284" s="219" t="s">
        <v>58</v>
      </c>
      <c r="G284" s="230"/>
      <c r="H284" s="228"/>
      <c r="I284" s="67"/>
      <c r="J284" s="61"/>
      <c r="M284" s="150"/>
      <c r="N284" s="262"/>
      <c r="O284" s="206"/>
      <c r="P284" s="330"/>
      <c r="Q284" s="206"/>
      <c r="R284" s="240"/>
      <c r="S284" s="150"/>
      <c r="T284" s="150"/>
      <c r="U284" s="445"/>
      <c r="V284" s="7"/>
      <c r="W284" s="6"/>
    </row>
    <row r="285" spans="1:69" s="17" customFormat="1" ht="12.75" hidden="1" customHeight="1" outlineLevel="1" x14ac:dyDescent="0.25">
      <c r="A285" s="144"/>
      <c r="B285" s="211" t="s">
        <v>97</v>
      </c>
      <c r="C285" s="54"/>
      <c r="D285" s="54"/>
      <c r="E285" s="54"/>
      <c r="F285" s="219" t="s">
        <v>61</v>
      </c>
      <c r="G285" s="230"/>
      <c r="H285" s="228"/>
      <c r="I285" s="68"/>
      <c r="J285" s="61"/>
      <c r="M285" s="150"/>
      <c r="N285" s="262"/>
      <c r="O285" s="206"/>
      <c r="P285" s="330"/>
      <c r="Q285" s="206"/>
      <c r="R285" s="240"/>
      <c r="S285" s="150"/>
      <c r="T285" s="150"/>
      <c r="U285" s="445"/>
      <c r="V285" s="7"/>
      <c r="W285" s="6"/>
    </row>
    <row r="286" spans="1:69" s="17" customFormat="1" ht="12.75" hidden="1" customHeight="1" outlineLevel="1" x14ac:dyDescent="0.25">
      <c r="A286" s="144"/>
      <c r="B286" s="211" t="s">
        <v>97</v>
      </c>
      <c r="C286" s="54"/>
      <c r="D286" s="54"/>
      <c r="E286" s="54"/>
      <c r="F286" s="219" t="s">
        <v>46</v>
      </c>
      <c r="G286" s="230"/>
      <c r="H286" s="228"/>
      <c r="I286" s="69"/>
      <c r="J286" s="61"/>
      <c r="M286" s="150"/>
      <c r="N286" s="262"/>
      <c r="O286" s="206"/>
      <c r="P286" s="330"/>
      <c r="Q286" s="206"/>
      <c r="R286" s="240"/>
      <c r="S286" s="150"/>
      <c r="T286" s="150"/>
      <c r="U286" s="445"/>
      <c r="V286" s="7"/>
      <c r="W286" s="6"/>
    </row>
    <row r="287" spans="1:69" s="400" customFormat="1" ht="12.75" hidden="1" customHeight="1" x14ac:dyDescent="0.25">
      <c r="A287" s="419"/>
      <c r="B287" s="402" t="s">
        <v>156</v>
      </c>
      <c r="C287" s="387" t="s">
        <v>101</v>
      </c>
      <c r="D287" s="387"/>
      <c r="E287" s="387"/>
      <c r="F287" s="388"/>
      <c r="G287" s="403"/>
      <c r="H287" s="403" t="s">
        <v>15</v>
      </c>
      <c r="I287" s="411"/>
      <c r="J287" s="411"/>
      <c r="M287" s="404"/>
      <c r="N287" s="328">
        <f t="shared" ref="N287" si="70">ROUND(M287*0.12,2)</f>
        <v>0</v>
      </c>
      <c r="O287" s="329">
        <f t="shared" ref="O287" si="71">ROUND(M287*0.08,2)</f>
        <v>0</v>
      </c>
      <c r="P287" s="330">
        <v>0.25</v>
      </c>
      <c r="Q287" s="329">
        <f t="shared" ref="Q287" si="72">P287*M287</f>
        <v>0</v>
      </c>
      <c r="R287" s="331">
        <f t="shared" ref="R287" si="73">ROUND((M287+Q287)*0.05,2)</f>
        <v>0</v>
      </c>
      <c r="S287" s="332">
        <f t="shared" ref="S287" si="74">R287+Q287</f>
        <v>0</v>
      </c>
      <c r="T287" s="332">
        <f t="shared" ref="T287" si="75">M287+S287</f>
        <v>0</v>
      </c>
      <c r="U287" s="332" t="e">
        <f t="shared" ref="U287" si="76">T287/G287</f>
        <v>#DIV/0!</v>
      </c>
      <c r="V287" s="56"/>
      <c r="W287" s="15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</row>
    <row r="288" spans="1:69" s="17" customFormat="1" ht="12.75" hidden="1" customHeight="1" outlineLevel="1" x14ac:dyDescent="0.25">
      <c r="A288" s="152"/>
      <c r="B288" s="192"/>
      <c r="C288" s="32"/>
      <c r="F288" s="130"/>
      <c r="G288" s="230"/>
      <c r="H288" s="228"/>
      <c r="M288" s="150"/>
      <c r="N288" s="262"/>
      <c r="O288" s="206"/>
      <c r="P288" s="266"/>
      <c r="Q288" s="206"/>
      <c r="R288" s="240"/>
      <c r="S288" s="150"/>
      <c r="T288" s="150"/>
      <c r="U288" s="445"/>
      <c r="V288" s="7"/>
      <c r="W288" s="6"/>
    </row>
    <row r="289" spans="1:69" s="17" customFormat="1" ht="12.75" hidden="1" customHeight="1" outlineLevel="1" x14ac:dyDescent="0.25">
      <c r="A289" s="144"/>
      <c r="B289" s="134"/>
      <c r="C289" s="54"/>
      <c r="D289" s="76" t="s">
        <v>41</v>
      </c>
      <c r="E289" s="60" t="s">
        <v>43</v>
      </c>
      <c r="F289" s="183" t="s">
        <v>44</v>
      </c>
      <c r="G289" s="230"/>
      <c r="H289" s="228"/>
      <c r="I289" s="60"/>
      <c r="J289" s="61"/>
      <c r="M289" s="150"/>
      <c r="N289" s="262"/>
      <c r="O289" s="206"/>
      <c r="P289" s="266"/>
      <c r="Q289" s="206"/>
      <c r="R289" s="240"/>
      <c r="S289" s="150"/>
      <c r="T289" s="150"/>
      <c r="U289" s="445"/>
      <c r="V289" s="7"/>
      <c r="W289" s="6"/>
    </row>
    <row r="290" spans="1:69" s="17" customFormat="1" ht="12.75" hidden="1" customHeight="1" outlineLevel="1" x14ac:dyDescent="0.25">
      <c r="A290" s="144"/>
      <c r="B290" s="134"/>
      <c r="C290" s="54"/>
      <c r="D290" s="77"/>
      <c r="E290" s="78">
        <v>1</v>
      </c>
      <c r="F290" s="218" t="s">
        <v>15</v>
      </c>
      <c r="G290" s="230"/>
      <c r="H290" s="228"/>
      <c r="I290" s="63"/>
      <c r="J290" s="64"/>
      <c r="M290" s="150"/>
      <c r="N290" s="262"/>
      <c r="O290" s="206"/>
      <c r="P290" s="266"/>
      <c r="Q290" s="206"/>
      <c r="R290" s="240"/>
      <c r="S290" s="150"/>
      <c r="T290" s="150"/>
      <c r="U290" s="445"/>
      <c r="V290" s="7"/>
      <c r="W290" s="6"/>
    </row>
    <row r="291" spans="1:69" s="17" customFormat="1" ht="12.75" hidden="1" customHeight="1" outlineLevel="1" x14ac:dyDescent="0.25">
      <c r="A291" s="144"/>
      <c r="B291" s="134"/>
      <c r="C291" s="54"/>
      <c r="D291" s="54"/>
      <c r="E291" s="64"/>
      <c r="F291" s="219" t="s">
        <v>58</v>
      </c>
      <c r="G291" s="230"/>
      <c r="H291" s="228"/>
      <c r="I291" s="67"/>
      <c r="J291" s="61"/>
      <c r="M291" s="150"/>
      <c r="N291" s="262"/>
      <c r="O291" s="206"/>
      <c r="P291" s="266"/>
      <c r="Q291" s="206"/>
      <c r="R291" s="240"/>
      <c r="S291" s="150"/>
      <c r="T291" s="150"/>
      <c r="U291" s="445"/>
      <c r="V291" s="7"/>
      <c r="W291" s="6"/>
    </row>
    <row r="292" spans="1:69" s="17" customFormat="1" ht="12.75" hidden="1" customHeight="1" outlineLevel="1" x14ac:dyDescent="0.25">
      <c r="A292" s="144"/>
      <c r="B292" s="134"/>
      <c r="C292" s="54"/>
      <c r="D292" s="54"/>
      <c r="E292" s="54"/>
      <c r="F292" s="219" t="s">
        <v>61</v>
      </c>
      <c r="G292" s="230"/>
      <c r="H292" s="228"/>
      <c r="I292" s="68"/>
      <c r="J292" s="61"/>
      <c r="M292" s="150"/>
      <c r="N292" s="262"/>
      <c r="O292" s="206"/>
      <c r="P292" s="266"/>
      <c r="Q292" s="206"/>
      <c r="R292" s="240"/>
      <c r="S292" s="150"/>
      <c r="T292" s="150"/>
      <c r="U292" s="445"/>
      <c r="V292" s="7"/>
      <c r="W292" s="6"/>
    </row>
    <row r="293" spans="1:69" s="17" customFormat="1" ht="12.75" hidden="1" customHeight="1" outlineLevel="1" x14ac:dyDescent="0.25">
      <c r="A293" s="144"/>
      <c r="B293" s="134"/>
      <c r="C293" s="54"/>
      <c r="D293" s="54"/>
      <c r="E293" s="54"/>
      <c r="F293" s="219" t="s">
        <v>46</v>
      </c>
      <c r="G293" s="230"/>
      <c r="H293" s="228"/>
      <c r="I293" s="69"/>
      <c r="J293" s="61"/>
      <c r="M293" s="150"/>
      <c r="N293" s="262"/>
      <c r="O293" s="206"/>
      <c r="P293" s="266"/>
      <c r="Q293" s="206"/>
      <c r="R293" s="240"/>
      <c r="S293" s="150"/>
      <c r="T293" s="150"/>
      <c r="U293" s="445"/>
      <c r="V293" s="7"/>
      <c r="W293" s="6"/>
    </row>
    <row r="294" spans="1:69" s="400" customFormat="1" ht="12.75" customHeight="1" collapsed="1" x14ac:dyDescent="0.25">
      <c r="A294" s="401">
        <v>14.6</v>
      </c>
      <c r="B294" s="412" t="s">
        <v>102</v>
      </c>
      <c r="C294" s="413"/>
      <c r="D294" s="417"/>
      <c r="E294" s="417"/>
      <c r="F294" s="418"/>
      <c r="G294" s="415"/>
      <c r="H294" s="416"/>
      <c r="I294" s="417"/>
      <c r="J294" s="417"/>
      <c r="M294" s="396"/>
      <c r="N294" s="397"/>
      <c r="O294" s="398"/>
      <c r="P294" s="303"/>
      <c r="Q294" s="398"/>
      <c r="R294" s="399"/>
      <c r="S294" s="396"/>
      <c r="T294" s="396"/>
      <c r="U294" s="444"/>
      <c r="V294" s="56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</row>
    <row r="295" spans="1:69" s="400" customFormat="1" ht="12.75" customHeight="1" x14ac:dyDescent="0.25">
      <c r="A295" s="419"/>
      <c r="B295" s="402" t="s">
        <v>123</v>
      </c>
      <c r="C295" s="387" t="s">
        <v>153</v>
      </c>
      <c r="D295" s="387"/>
      <c r="E295" s="387"/>
      <c r="F295" s="388"/>
      <c r="G295" s="403"/>
      <c r="H295" s="403" t="s">
        <v>81</v>
      </c>
      <c r="I295" s="411"/>
      <c r="J295" s="411"/>
      <c r="M295" s="404"/>
      <c r="N295" s="328">
        <f t="shared" ref="N295" si="77">ROUND(M295*0.12,2)</f>
        <v>0</v>
      </c>
      <c r="O295" s="329">
        <f t="shared" ref="O295" si="78">ROUND(M295*0.08,2)</f>
        <v>0</v>
      </c>
      <c r="P295" s="330">
        <v>0.25</v>
      </c>
      <c r="Q295" s="329">
        <f t="shared" ref="Q295" si="79">P295*M295</f>
        <v>0</v>
      </c>
      <c r="R295" s="331">
        <f t="shared" ref="R295" si="80">ROUND((M295+Q295)*0.05,2)</f>
        <v>0</v>
      </c>
      <c r="S295" s="332">
        <f t="shared" ref="S295" si="81">R295+Q295</f>
        <v>0</v>
      </c>
      <c r="T295" s="332">
        <f t="shared" ref="T295" si="82">M295+S295</f>
        <v>0</v>
      </c>
      <c r="U295" s="332" t="e">
        <f t="shared" ref="U295" si="83">T295/G295</f>
        <v>#DIV/0!</v>
      </c>
      <c r="V295" s="56"/>
      <c r="W295" s="15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</row>
    <row r="296" spans="1:69" s="17" customFormat="1" ht="12.75" hidden="1" customHeight="1" outlineLevel="1" x14ac:dyDescent="0.25">
      <c r="A296" s="152"/>
      <c r="B296" s="192"/>
      <c r="C296" s="32"/>
      <c r="F296" s="130"/>
      <c r="G296" s="230"/>
      <c r="H296" s="228"/>
      <c r="M296" s="150"/>
      <c r="N296" s="232"/>
      <c r="O296" s="249"/>
      <c r="P296" s="330">
        <v>0.25</v>
      </c>
      <c r="Q296" s="249"/>
      <c r="R296" s="272"/>
      <c r="S296" s="229"/>
      <c r="T296" s="229"/>
      <c r="U296" s="229"/>
      <c r="V296" s="7"/>
      <c r="W296" s="6"/>
    </row>
    <row r="297" spans="1:69" s="17" customFormat="1" ht="12.75" hidden="1" customHeight="1" outlineLevel="1" x14ac:dyDescent="0.25">
      <c r="A297" s="152"/>
      <c r="B297" s="181"/>
      <c r="C297" s="54"/>
      <c r="D297" s="76" t="s">
        <v>41</v>
      </c>
      <c r="E297" s="60" t="s">
        <v>43</v>
      </c>
      <c r="F297" s="183" t="s">
        <v>44</v>
      </c>
      <c r="G297" s="230"/>
      <c r="H297" s="228"/>
      <c r="I297" s="60"/>
      <c r="J297" s="61"/>
      <c r="M297" s="150"/>
      <c r="N297" s="232"/>
      <c r="O297" s="249"/>
      <c r="P297" s="330">
        <v>0.25</v>
      </c>
      <c r="Q297" s="249"/>
      <c r="R297" s="272"/>
      <c r="S297" s="229"/>
      <c r="T297" s="229"/>
      <c r="U297" s="229"/>
      <c r="V297" s="7"/>
      <c r="W297" s="6"/>
    </row>
    <row r="298" spans="1:69" s="17" customFormat="1" ht="12.75" hidden="1" customHeight="1" outlineLevel="1" x14ac:dyDescent="0.25">
      <c r="A298" s="152"/>
      <c r="B298" s="181"/>
      <c r="C298" s="54"/>
      <c r="D298" s="77"/>
      <c r="E298" s="78">
        <v>40</v>
      </c>
      <c r="F298" s="218" t="s">
        <v>81</v>
      </c>
      <c r="G298" s="230"/>
      <c r="H298" s="228"/>
      <c r="I298" s="63"/>
      <c r="J298" s="64"/>
      <c r="M298" s="150"/>
      <c r="N298" s="232"/>
      <c r="O298" s="249"/>
      <c r="P298" s="330">
        <v>0.25</v>
      </c>
      <c r="Q298" s="249"/>
      <c r="R298" s="272"/>
      <c r="S298" s="229"/>
      <c r="T298" s="229"/>
      <c r="U298" s="229"/>
      <c r="V298" s="7"/>
      <c r="W298" s="6"/>
    </row>
    <row r="299" spans="1:69" s="17" customFormat="1" ht="12.75" hidden="1" customHeight="1" outlineLevel="1" x14ac:dyDescent="0.25">
      <c r="A299" s="152"/>
      <c r="B299" s="181"/>
      <c r="C299" s="54"/>
      <c r="D299" s="54"/>
      <c r="E299" s="64"/>
      <c r="F299" s="219" t="s">
        <v>58</v>
      </c>
      <c r="G299" s="230"/>
      <c r="H299" s="228"/>
      <c r="I299" s="67"/>
      <c r="J299" s="61"/>
      <c r="M299" s="150"/>
      <c r="N299" s="232"/>
      <c r="O299" s="249"/>
      <c r="P299" s="330">
        <v>0.25</v>
      </c>
      <c r="Q299" s="249"/>
      <c r="R299" s="272"/>
      <c r="S299" s="229"/>
      <c r="T299" s="229"/>
      <c r="U299" s="229"/>
      <c r="V299" s="7"/>
      <c r="W299" s="6"/>
    </row>
    <row r="300" spans="1:69" s="17" customFormat="1" ht="12.75" hidden="1" customHeight="1" outlineLevel="1" x14ac:dyDescent="0.25">
      <c r="A300" s="152"/>
      <c r="B300" s="181"/>
      <c r="C300" s="54"/>
      <c r="D300" s="54"/>
      <c r="E300" s="54"/>
      <c r="F300" s="219" t="s">
        <v>61</v>
      </c>
      <c r="G300" s="230"/>
      <c r="H300" s="228"/>
      <c r="I300" s="68"/>
      <c r="J300" s="61"/>
      <c r="M300" s="150"/>
      <c r="N300" s="232"/>
      <c r="O300" s="249"/>
      <c r="P300" s="330">
        <v>0.25</v>
      </c>
      <c r="Q300" s="249"/>
      <c r="R300" s="272"/>
      <c r="S300" s="229"/>
      <c r="T300" s="229"/>
      <c r="U300" s="229"/>
      <c r="V300" s="7"/>
      <c r="W300" s="6"/>
    </row>
    <row r="301" spans="1:69" s="17" customFormat="1" ht="12.75" hidden="1" customHeight="1" outlineLevel="1" x14ac:dyDescent="0.25">
      <c r="A301" s="152"/>
      <c r="B301" s="181"/>
      <c r="C301" s="54"/>
      <c r="D301" s="54"/>
      <c r="E301" s="54"/>
      <c r="F301" s="219" t="s">
        <v>46</v>
      </c>
      <c r="G301" s="230"/>
      <c r="H301" s="228"/>
      <c r="I301" s="69"/>
      <c r="J301" s="61"/>
      <c r="M301" s="150"/>
      <c r="N301" s="232"/>
      <c r="O301" s="249"/>
      <c r="P301" s="330">
        <v>0.25</v>
      </c>
      <c r="Q301" s="249"/>
      <c r="R301" s="272"/>
      <c r="S301" s="229"/>
      <c r="T301" s="229"/>
      <c r="U301" s="229"/>
      <c r="V301" s="7"/>
      <c r="W301" s="6"/>
    </row>
    <row r="302" spans="1:69" s="400" customFormat="1" ht="12.75" hidden="1" customHeight="1" collapsed="1" x14ac:dyDescent="0.25">
      <c r="A302" s="419"/>
      <c r="B302" s="402" t="s">
        <v>124</v>
      </c>
      <c r="C302" s="387" t="s">
        <v>103</v>
      </c>
      <c r="D302" s="378"/>
      <c r="E302" s="378"/>
      <c r="F302" s="379"/>
      <c r="G302" s="403"/>
      <c r="H302" s="403" t="s">
        <v>81</v>
      </c>
      <c r="I302" s="420"/>
      <c r="J302" s="420"/>
      <c r="M302" s="404"/>
      <c r="N302" s="328">
        <f t="shared" ref="N302" si="84">ROUND(M302*0.12,2)</f>
        <v>0</v>
      </c>
      <c r="O302" s="329">
        <f t="shared" ref="O302" si="85">ROUND(M302*0.08,2)</f>
        <v>0</v>
      </c>
      <c r="P302" s="330">
        <v>0.25</v>
      </c>
      <c r="Q302" s="329">
        <f t="shared" ref="Q302" si="86">P302*M302</f>
        <v>0</v>
      </c>
      <c r="R302" s="331">
        <f t="shared" ref="R302" si="87">ROUND((M302+Q302)*0.05,2)</f>
        <v>0</v>
      </c>
      <c r="S302" s="332">
        <f t="shared" ref="S302" si="88">R302+Q302</f>
        <v>0</v>
      </c>
      <c r="T302" s="332">
        <f t="shared" ref="T302" si="89">M302+S302</f>
        <v>0</v>
      </c>
      <c r="U302" s="332" t="e">
        <f t="shared" ref="U302" si="90">T302/G302</f>
        <v>#DIV/0!</v>
      </c>
      <c r="V302" s="56"/>
      <c r="W302" s="15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</row>
    <row r="303" spans="1:69" s="17" customFormat="1" ht="12.75" hidden="1" customHeight="1" outlineLevel="1" x14ac:dyDescent="0.25">
      <c r="A303" s="152"/>
      <c r="B303" s="192"/>
      <c r="C303" s="32"/>
      <c r="F303" s="130"/>
      <c r="G303" s="230"/>
      <c r="H303" s="228"/>
      <c r="M303" s="150"/>
      <c r="N303" s="232"/>
      <c r="O303" s="249"/>
      <c r="P303" s="330">
        <v>0.25</v>
      </c>
      <c r="Q303" s="249"/>
      <c r="R303" s="272"/>
      <c r="S303" s="229"/>
      <c r="T303" s="229"/>
      <c r="U303" s="229"/>
      <c r="V303" s="7"/>
      <c r="W303" s="6"/>
    </row>
    <row r="304" spans="1:69" s="17" customFormat="1" ht="12.75" hidden="1" customHeight="1" outlineLevel="1" x14ac:dyDescent="0.25">
      <c r="A304" s="152"/>
      <c r="B304" s="181"/>
      <c r="C304" s="54"/>
      <c r="D304" s="76" t="s">
        <v>41</v>
      </c>
      <c r="E304" s="60" t="s">
        <v>43</v>
      </c>
      <c r="F304" s="183" t="s">
        <v>44</v>
      </c>
      <c r="G304" s="230"/>
      <c r="H304" s="228"/>
      <c r="I304" s="60"/>
      <c r="J304" s="61"/>
      <c r="M304" s="150"/>
      <c r="N304" s="232"/>
      <c r="O304" s="249"/>
      <c r="P304" s="330">
        <v>0.25</v>
      </c>
      <c r="Q304" s="249"/>
      <c r="R304" s="272"/>
      <c r="S304" s="229"/>
      <c r="T304" s="229"/>
      <c r="U304" s="229"/>
      <c r="V304" s="7"/>
      <c r="W304" s="6"/>
    </row>
    <row r="305" spans="1:69" s="17" customFormat="1" ht="12.75" hidden="1" customHeight="1" outlineLevel="1" x14ac:dyDescent="0.25">
      <c r="A305" s="152"/>
      <c r="B305" s="181"/>
      <c r="C305" s="54"/>
      <c r="D305" s="77"/>
      <c r="E305" s="78">
        <v>40</v>
      </c>
      <c r="F305" s="218" t="s">
        <v>81</v>
      </c>
      <c r="G305" s="230"/>
      <c r="H305" s="228"/>
      <c r="I305" s="63"/>
      <c r="J305" s="64"/>
      <c r="M305" s="150"/>
      <c r="N305" s="232"/>
      <c r="O305" s="249"/>
      <c r="P305" s="330">
        <v>0.25</v>
      </c>
      <c r="Q305" s="249"/>
      <c r="R305" s="272"/>
      <c r="S305" s="229"/>
      <c r="T305" s="229"/>
      <c r="U305" s="229"/>
      <c r="V305" s="7"/>
      <c r="W305" s="6"/>
    </row>
    <row r="306" spans="1:69" s="17" customFormat="1" ht="12.75" hidden="1" customHeight="1" outlineLevel="1" x14ac:dyDescent="0.25">
      <c r="A306" s="152"/>
      <c r="B306" s="181"/>
      <c r="C306" s="54"/>
      <c r="D306" s="54"/>
      <c r="E306" s="64"/>
      <c r="F306" s="219" t="s">
        <v>58</v>
      </c>
      <c r="G306" s="230"/>
      <c r="H306" s="228"/>
      <c r="I306" s="67"/>
      <c r="J306" s="61"/>
      <c r="M306" s="150"/>
      <c r="N306" s="232"/>
      <c r="O306" s="249"/>
      <c r="P306" s="330">
        <v>0.25</v>
      </c>
      <c r="Q306" s="249"/>
      <c r="R306" s="272"/>
      <c r="S306" s="229"/>
      <c r="T306" s="229"/>
      <c r="U306" s="229"/>
      <c r="V306" s="7"/>
      <c r="W306" s="6"/>
    </row>
    <row r="307" spans="1:69" s="17" customFormat="1" ht="12.75" hidden="1" customHeight="1" outlineLevel="1" x14ac:dyDescent="0.25">
      <c r="A307" s="152"/>
      <c r="B307" s="181"/>
      <c r="C307" s="54"/>
      <c r="D307" s="54"/>
      <c r="E307" s="54"/>
      <c r="F307" s="219" t="s">
        <v>61</v>
      </c>
      <c r="G307" s="230"/>
      <c r="H307" s="228"/>
      <c r="I307" s="68"/>
      <c r="J307" s="61"/>
      <c r="M307" s="150"/>
      <c r="N307" s="232"/>
      <c r="O307" s="249"/>
      <c r="P307" s="330">
        <v>0.25</v>
      </c>
      <c r="Q307" s="249"/>
      <c r="R307" s="272"/>
      <c r="S307" s="229"/>
      <c r="T307" s="229"/>
      <c r="U307" s="229"/>
      <c r="V307" s="7"/>
      <c r="W307" s="6"/>
    </row>
    <row r="308" spans="1:69" s="17" customFormat="1" ht="12.75" hidden="1" customHeight="1" outlineLevel="1" x14ac:dyDescent="0.25">
      <c r="A308" s="152"/>
      <c r="B308" s="181"/>
      <c r="C308" s="54"/>
      <c r="D308" s="54"/>
      <c r="E308" s="54"/>
      <c r="F308" s="219" t="s">
        <v>46</v>
      </c>
      <c r="G308" s="230"/>
      <c r="H308" s="228"/>
      <c r="I308" s="69"/>
      <c r="J308" s="61"/>
      <c r="M308" s="150"/>
      <c r="N308" s="232"/>
      <c r="O308" s="249"/>
      <c r="P308" s="330">
        <v>0.25</v>
      </c>
      <c r="Q308" s="249"/>
      <c r="R308" s="272"/>
      <c r="S308" s="229"/>
      <c r="T308" s="229"/>
      <c r="U308" s="229"/>
      <c r="V308" s="7"/>
      <c r="W308" s="6"/>
    </row>
    <row r="309" spans="1:69" s="400" customFormat="1" ht="12.75" hidden="1" customHeight="1" collapsed="1" x14ac:dyDescent="0.25">
      <c r="A309" s="419"/>
      <c r="B309" s="402" t="s">
        <v>125</v>
      </c>
      <c r="C309" s="378" t="s">
        <v>104</v>
      </c>
      <c r="D309" s="378"/>
      <c r="E309" s="378"/>
      <c r="F309" s="379"/>
      <c r="G309" s="403"/>
      <c r="H309" s="403" t="s">
        <v>105</v>
      </c>
      <c r="I309" s="420"/>
      <c r="J309" s="420"/>
      <c r="M309" s="404"/>
      <c r="N309" s="328">
        <f t="shared" ref="N309" si="91">ROUND(M309*0.12,2)</f>
        <v>0</v>
      </c>
      <c r="O309" s="329">
        <f t="shared" ref="O309" si="92">ROUND(M309*0.08,2)</f>
        <v>0</v>
      </c>
      <c r="P309" s="330">
        <v>0.25</v>
      </c>
      <c r="Q309" s="329">
        <f t="shared" ref="Q309" si="93">P309*M309</f>
        <v>0</v>
      </c>
      <c r="R309" s="331">
        <f t="shared" ref="R309" si="94">ROUND((M309+Q309)*0.05,2)</f>
        <v>0</v>
      </c>
      <c r="S309" s="332">
        <f t="shared" ref="S309" si="95">R309+Q309</f>
        <v>0</v>
      </c>
      <c r="T309" s="332">
        <f t="shared" ref="T309" si="96">M309+S309</f>
        <v>0</v>
      </c>
      <c r="U309" s="332" t="e">
        <f t="shared" ref="U309" si="97">T309/G309</f>
        <v>#DIV/0!</v>
      </c>
      <c r="V309" s="56"/>
      <c r="W309" s="15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</row>
    <row r="310" spans="1:69" s="17" customFormat="1" ht="12.75" hidden="1" customHeight="1" outlineLevel="1" x14ac:dyDescent="0.25">
      <c r="A310" s="152"/>
      <c r="B310" s="192"/>
      <c r="C310" s="32"/>
      <c r="F310" s="130"/>
      <c r="G310" s="230"/>
      <c r="H310" s="228"/>
      <c r="M310" s="150"/>
      <c r="N310" s="232"/>
      <c r="O310" s="249"/>
      <c r="P310" s="330">
        <v>0.25</v>
      </c>
      <c r="Q310" s="249"/>
      <c r="R310" s="272"/>
      <c r="S310" s="229"/>
      <c r="T310" s="229"/>
      <c r="U310" s="229"/>
      <c r="V310" s="7"/>
      <c r="W310" s="6"/>
    </row>
    <row r="311" spans="1:69" s="17" customFormat="1" ht="12.75" hidden="1" customHeight="1" outlineLevel="1" x14ac:dyDescent="0.25">
      <c r="A311" s="152"/>
      <c r="B311" s="181"/>
      <c r="C311" s="54"/>
      <c r="D311" s="76" t="s">
        <v>41</v>
      </c>
      <c r="E311" s="60" t="s">
        <v>43</v>
      </c>
      <c r="F311" s="183" t="s">
        <v>44</v>
      </c>
      <c r="G311" s="230"/>
      <c r="H311" s="228"/>
      <c r="I311" s="60"/>
      <c r="J311" s="61"/>
      <c r="M311" s="150"/>
      <c r="N311" s="232"/>
      <c r="O311" s="249"/>
      <c r="P311" s="330">
        <v>0.25</v>
      </c>
      <c r="Q311" s="249"/>
      <c r="R311" s="272"/>
      <c r="S311" s="229"/>
      <c r="T311" s="229"/>
      <c r="U311" s="229"/>
      <c r="V311" s="7"/>
      <c r="W311" s="6"/>
    </row>
    <row r="312" spans="1:69" s="17" customFormat="1" ht="12.75" hidden="1" customHeight="1" outlineLevel="1" x14ac:dyDescent="0.25">
      <c r="A312" s="152"/>
      <c r="B312" s="181"/>
      <c r="C312" s="54"/>
      <c r="D312" s="77"/>
      <c r="E312" s="78">
        <v>8</v>
      </c>
      <c r="F312" s="218" t="s">
        <v>105</v>
      </c>
      <c r="G312" s="230"/>
      <c r="H312" s="228"/>
      <c r="I312" s="63"/>
      <c r="J312" s="64"/>
      <c r="M312" s="150"/>
      <c r="N312" s="232"/>
      <c r="O312" s="249"/>
      <c r="P312" s="330">
        <v>0.25</v>
      </c>
      <c r="Q312" s="249"/>
      <c r="R312" s="272"/>
      <c r="S312" s="229"/>
      <c r="T312" s="229"/>
      <c r="U312" s="229"/>
      <c r="V312" s="7"/>
      <c r="W312" s="6"/>
    </row>
    <row r="313" spans="1:69" s="17" customFormat="1" ht="12.75" hidden="1" customHeight="1" outlineLevel="1" x14ac:dyDescent="0.25">
      <c r="A313" s="152"/>
      <c r="B313" s="181"/>
      <c r="C313" s="54"/>
      <c r="D313" s="54"/>
      <c r="E313" s="64"/>
      <c r="F313" s="219" t="s">
        <v>58</v>
      </c>
      <c r="G313" s="230"/>
      <c r="H313" s="228"/>
      <c r="I313" s="67"/>
      <c r="J313" s="61"/>
      <c r="M313" s="150"/>
      <c r="N313" s="232"/>
      <c r="O313" s="249"/>
      <c r="P313" s="330">
        <v>0.25</v>
      </c>
      <c r="Q313" s="249"/>
      <c r="R313" s="272"/>
      <c r="S313" s="229"/>
      <c r="T313" s="229"/>
      <c r="U313" s="229"/>
      <c r="V313" s="7"/>
      <c r="W313" s="6"/>
    </row>
    <row r="314" spans="1:69" s="17" customFormat="1" ht="12.75" hidden="1" customHeight="1" outlineLevel="1" x14ac:dyDescent="0.25">
      <c r="A314" s="152"/>
      <c r="B314" s="181"/>
      <c r="C314" s="54"/>
      <c r="D314" s="54"/>
      <c r="E314" s="54"/>
      <c r="F314" s="219" t="s">
        <v>61</v>
      </c>
      <c r="G314" s="230"/>
      <c r="H314" s="228"/>
      <c r="I314" s="68"/>
      <c r="J314" s="61"/>
      <c r="M314" s="150"/>
      <c r="N314" s="232"/>
      <c r="O314" s="249"/>
      <c r="P314" s="330">
        <v>0.25</v>
      </c>
      <c r="Q314" s="249"/>
      <c r="R314" s="272"/>
      <c r="S314" s="229"/>
      <c r="T314" s="229"/>
      <c r="U314" s="229"/>
      <c r="V314" s="7"/>
      <c r="W314" s="6"/>
    </row>
    <row r="315" spans="1:69" s="17" customFormat="1" ht="12.75" hidden="1" customHeight="1" outlineLevel="1" x14ac:dyDescent="0.25">
      <c r="A315" s="152"/>
      <c r="B315" s="181"/>
      <c r="C315" s="54"/>
      <c r="D315" s="54"/>
      <c r="E315" s="54"/>
      <c r="F315" s="219" t="s">
        <v>46</v>
      </c>
      <c r="G315" s="230"/>
      <c r="H315" s="228"/>
      <c r="I315" s="69"/>
      <c r="J315" s="61"/>
      <c r="M315" s="150"/>
      <c r="N315" s="232"/>
      <c r="O315" s="249"/>
      <c r="P315" s="330">
        <v>0.25</v>
      </c>
      <c r="Q315" s="249"/>
      <c r="R315" s="272"/>
      <c r="S315" s="229"/>
      <c r="T315" s="229"/>
      <c r="U315" s="229"/>
      <c r="V315" s="7"/>
      <c r="W315" s="6"/>
    </row>
    <row r="316" spans="1:69" s="400" customFormat="1" ht="12.75" hidden="1" customHeight="1" collapsed="1" x14ac:dyDescent="0.25">
      <c r="A316" s="419"/>
      <c r="B316" s="402" t="s">
        <v>126</v>
      </c>
      <c r="C316" s="378" t="s">
        <v>106</v>
      </c>
      <c r="D316" s="378"/>
      <c r="E316" s="378"/>
      <c r="F316" s="379"/>
      <c r="G316" s="403"/>
      <c r="H316" s="403" t="s">
        <v>105</v>
      </c>
      <c r="I316" s="420"/>
      <c r="J316" s="420"/>
      <c r="M316" s="404"/>
      <c r="N316" s="328">
        <f t="shared" ref="N316" si="98">ROUND(M316*0.12,2)</f>
        <v>0</v>
      </c>
      <c r="O316" s="329">
        <f t="shared" ref="O316" si="99">ROUND(M316*0.08,2)</f>
        <v>0</v>
      </c>
      <c r="P316" s="330">
        <v>0.25</v>
      </c>
      <c r="Q316" s="329">
        <f t="shared" ref="Q316" si="100">P316*M316</f>
        <v>0</v>
      </c>
      <c r="R316" s="331">
        <f t="shared" ref="R316" si="101">ROUND((M316+Q316)*0.05,2)</f>
        <v>0</v>
      </c>
      <c r="S316" s="332">
        <f t="shared" ref="S316" si="102">R316+Q316</f>
        <v>0</v>
      </c>
      <c r="T316" s="332">
        <f t="shared" ref="T316" si="103">M316+S316</f>
        <v>0</v>
      </c>
      <c r="U316" s="332" t="e">
        <f t="shared" ref="U316" si="104">T316/G316</f>
        <v>#DIV/0!</v>
      </c>
      <c r="V316" s="56"/>
      <c r="W316" s="15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</row>
    <row r="317" spans="1:69" s="17" customFormat="1" ht="12.75" hidden="1" customHeight="1" outlineLevel="1" x14ac:dyDescent="0.25">
      <c r="A317" s="152"/>
      <c r="B317" s="192"/>
      <c r="C317" s="32"/>
      <c r="F317" s="130"/>
      <c r="G317" s="230"/>
      <c r="H317" s="228"/>
      <c r="M317" s="150"/>
      <c r="N317" s="232"/>
      <c r="O317" s="249"/>
      <c r="P317" s="330">
        <v>0.25</v>
      </c>
      <c r="Q317" s="249"/>
      <c r="R317" s="272"/>
      <c r="S317" s="229"/>
      <c r="T317" s="229"/>
      <c r="U317" s="229"/>
      <c r="V317" s="7"/>
      <c r="W317" s="6"/>
    </row>
    <row r="318" spans="1:69" s="17" customFormat="1" ht="12.75" hidden="1" customHeight="1" outlineLevel="1" x14ac:dyDescent="0.25">
      <c r="A318" s="152"/>
      <c r="B318" s="181"/>
      <c r="C318" s="54"/>
      <c r="D318" s="76" t="s">
        <v>41</v>
      </c>
      <c r="E318" s="60" t="s">
        <v>43</v>
      </c>
      <c r="F318" s="183" t="s">
        <v>44</v>
      </c>
      <c r="G318" s="230"/>
      <c r="H318" s="228"/>
      <c r="I318" s="60"/>
      <c r="J318" s="61"/>
      <c r="M318" s="150"/>
      <c r="N318" s="232"/>
      <c r="O318" s="249"/>
      <c r="P318" s="330">
        <v>0.25</v>
      </c>
      <c r="Q318" s="249"/>
      <c r="R318" s="272"/>
      <c r="S318" s="229"/>
      <c r="T318" s="229"/>
      <c r="U318" s="229"/>
      <c r="V318" s="7"/>
      <c r="W318" s="6"/>
    </row>
    <row r="319" spans="1:69" s="17" customFormat="1" ht="12.75" hidden="1" customHeight="1" outlineLevel="1" x14ac:dyDescent="0.25">
      <c r="A319" s="152"/>
      <c r="B319" s="181"/>
      <c r="C319" s="54"/>
      <c r="D319" s="77"/>
      <c r="E319" s="78">
        <v>3</v>
      </c>
      <c r="F319" s="218" t="s">
        <v>105</v>
      </c>
      <c r="G319" s="230"/>
      <c r="H319" s="228"/>
      <c r="I319" s="63"/>
      <c r="J319" s="64"/>
      <c r="M319" s="150"/>
      <c r="N319" s="232"/>
      <c r="O319" s="249"/>
      <c r="P319" s="330">
        <v>0.25</v>
      </c>
      <c r="Q319" s="249"/>
      <c r="R319" s="272"/>
      <c r="S319" s="229"/>
      <c r="T319" s="229"/>
      <c r="U319" s="229"/>
      <c r="V319" s="7"/>
      <c r="W319" s="6"/>
    </row>
    <row r="320" spans="1:69" s="17" customFormat="1" ht="12.75" hidden="1" customHeight="1" outlineLevel="1" x14ac:dyDescent="0.25">
      <c r="A320" s="152"/>
      <c r="B320" s="181"/>
      <c r="C320" s="54"/>
      <c r="D320" s="54"/>
      <c r="E320" s="64"/>
      <c r="F320" s="219" t="s">
        <v>58</v>
      </c>
      <c r="G320" s="230"/>
      <c r="H320" s="228"/>
      <c r="I320" s="67"/>
      <c r="J320" s="61"/>
      <c r="M320" s="150"/>
      <c r="N320" s="232"/>
      <c r="O320" s="249"/>
      <c r="P320" s="330">
        <v>0.25</v>
      </c>
      <c r="Q320" s="249"/>
      <c r="R320" s="272"/>
      <c r="S320" s="229"/>
      <c r="T320" s="229"/>
      <c r="U320" s="229"/>
      <c r="V320" s="7"/>
      <c r="W320" s="6"/>
    </row>
    <row r="321" spans="1:69" s="17" customFormat="1" ht="12.75" hidden="1" customHeight="1" outlineLevel="1" x14ac:dyDescent="0.25">
      <c r="A321" s="152"/>
      <c r="B321" s="181"/>
      <c r="C321" s="54"/>
      <c r="D321" s="54"/>
      <c r="E321" s="54"/>
      <c r="F321" s="219" t="s">
        <v>61</v>
      </c>
      <c r="G321" s="230"/>
      <c r="H321" s="228"/>
      <c r="I321" s="68"/>
      <c r="J321" s="61"/>
      <c r="M321" s="150"/>
      <c r="N321" s="232"/>
      <c r="O321" s="249"/>
      <c r="P321" s="330">
        <v>0.25</v>
      </c>
      <c r="Q321" s="249"/>
      <c r="R321" s="272"/>
      <c r="S321" s="229"/>
      <c r="T321" s="229"/>
      <c r="U321" s="229"/>
      <c r="V321" s="7"/>
      <c r="W321" s="6"/>
    </row>
    <row r="322" spans="1:69" s="17" customFormat="1" ht="12.75" hidden="1" customHeight="1" outlineLevel="1" x14ac:dyDescent="0.25">
      <c r="A322" s="152"/>
      <c r="B322" s="181"/>
      <c r="C322" s="54"/>
      <c r="D322" s="54"/>
      <c r="E322" s="54"/>
      <c r="F322" s="219" t="s">
        <v>46</v>
      </c>
      <c r="G322" s="230"/>
      <c r="H322" s="228"/>
      <c r="I322" s="69"/>
      <c r="J322" s="61"/>
      <c r="M322" s="150"/>
      <c r="N322" s="232"/>
      <c r="O322" s="249"/>
      <c r="P322" s="330">
        <v>0.25</v>
      </c>
      <c r="Q322" s="249"/>
      <c r="R322" s="272"/>
      <c r="S322" s="229"/>
      <c r="T322" s="229"/>
      <c r="U322" s="229"/>
      <c r="V322" s="7"/>
      <c r="W322" s="6"/>
    </row>
    <row r="323" spans="1:69" s="400" customFormat="1" ht="12.75" hidden="1" customHeight="1" collapsed="1" x14ac:dyDescent="0.25">
      <c r="A323" s="419"/>
      <c r="B323" s="402" t="s">
        <v>127</v>
      </c>
      <c r="C323" s="378" t="s">
        <v>154</v>
      </c>
      <c r="D323" s="378"/>
      <c r="E323" s="378"/>
      <c r="F323" s="379"/>
      <c r="G323" s="403"/>
      <c r="H323" s="403" t="s">
        <v>81</v>
      </c>
      <c r="I323" s="420"/>
      <c r="J323" s="420"/>
      <c r="M323" s="404"/>
      <c r="N323" s="328">
        <f t="shared" ref="N323" si="105">ROUND(M323*0.12,2)</f>
        <v>0</v>
      </c>
      <c r="O323" s="329">
        <f t="shared" ref="O323" si="106">ROUND(M323*0.08,2)</f>
        <v>0</v>
      </c>
      <c r="P323" s="330">
        <v>0.25</v>
      </c>
      <c r="Q323" s="329">
        <f t="shared" ref="Q323" si="107">P323*M323</f>
        <v>0</v>
      </c>
      <c r="R323" s="331">
        <f t="shared" ref="R323" si="108">ROUND((M323+Q323)*0.05,2)</f>
        <v>0</v>
      </c>
      <c r="S323" s="332">
        <f t="shared" ref="S323" si="109">R323+Q323</f>
        <v>0</v>
      </c>
      <c r="T323" s="332">
        <f t="shared" ref="T323" si="110">M323+S323</f>
        <v>0</v>
      </c>
      <c r="U323" s="332" t="e">
        <f t="shared" ref="U323" si="111">T323/G323</f>
        <v>#DIV/0!</v>
      </c>
      <c r="V323" s="56"/>
      <c r="W323" s="15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</row>
    <row r="324" spans="1:69" s="17" customFormat="1" ht="7.5" hidden="1" customHeight="1" outlineLevel="1" x14ac:dyDescent="0.25">
      <c r="A324" s="152"/>
      <c r="B324" s="192"/>
      <c r="C324" s="32"/>
      <c r="F324" s="130"/>
      <c r="G324" s="230"/>
      <c r="H324" s="228"/>
      <c r="M324" s="150"/>
      <c r="N324" s="232"/>
      <c r="O324" s="249"/>
      <c r="P324" s="330">
        <v>0.25</v>
      </c>
      <c r="Q324" s="249"/>
      <c r="R324" s="272"/>
      <c r="S324" s="229"/>
      <c r="T324" s="229"/>
      <c r="U324" s="229"/>
      <c r="V324" s="7"/>
      <c r="W324" s="6"/>
    </row>
    <row r="325" spans="1:69" s="17" customFormat="1" ht="12.75" hidden="1" customHeight="1" outlineLevel="1" x14ac:dyDescent="0.25">
      <c r="A325" s="152"/>
      <c r="B325" s="181"/>
      <c r="C325" s="54"/>
      <c r="D325" s="76" t="s">
        <v>41</v>
      </c>
      <c r="E325" s="60" t="s">
        <v>43</v>
      </c>
      <c r="F325" s="183" t="s">
        <v>44</v>
      </c>
      <c r="G325" s="230"/>
      <c r="H325" s="228"/>
      <c r="I325" s="60"/>
      <c r="J325" s="61"/>
      <c r="M325" s="150"/>
      <c r="N325" s="232"/>
      <c r="O325" s="249"/>
      <c r="P325" s="330">
        <v>0.25</v>
      </c>
      <c r="Q325" s="249"/>
      <c r="R325" s="272"/>
      <c r="S325" s="229"/>
      <c r="T325" s="229"/>
      <c r="U325" s="229"/>
      <c r="V325" s="7"/>
      <c r="W325" s="6"/>
    </row>
    <row r="326" spans="1:69" s="17" customFormat="1" ht="7.5" hidden="1" customHeight="1" outlineLevel="1" x14ac:dyDescent="0.25">
      <c r="A326" s="152"/>
      <c r="B326" s="181"/>
      <c r="C326" s="54"/>
      <c r="D326" s="77"/>
      <c r="E326" s="78">
        <v>75</v>
      </c>
      <c r="F326" s="218" t="s">
        <v>81</v>
      </c>
      <c r="G326" s="230"/>
      <c r="H326" s="228"/>
      <c r="I326" s="63"/>
      <c r="J326" s="64"/>
      <c r="M326" s="150"/>
      <c r="N326" s="232"/>
      <c r="O326" s="249"/>
      <c r="P326" s="330">
        <v>0.25</v>
      </c>
      <c r="Q326" s="249"/>
      <c r="R326" s="272"/>
      <c r="S326" s="229"/>
      <c r="T326" s="229"/>
      <c r="U326" s="229"/>
      <c r="V326" s="7"/>
      <c r="W326" s="6"/>
    </row>
    <row r="327" spans="1:69" s="17" customFormat="1" ht="12.75" hidden="1" customHeight="1" outlineLevel="1" x14ac:dyDescent="0.25">
      <c r="A327" s="152"/>
      <c r="B327" s="181"/>
      <c r="C327" s="54"/>
      <c r="D327" s="54"/>
      <c r="E327" s="64"/>
      <c r="F327" s="219" t="s">
        <v>58</v>
      </c>
      <c r="G327" s="230"/>
      <c r="H327" s="228"/>
      <c r="I327" s="67"/>
      <c r="J327" s="61"/>
      <c r="M327" s="150"/>
      <c r="N327" s="232"/>
      <c r="O327" s="249"/>
      <c r="P327" s="330">
        <v>0.25</v>
      </c>
      <c r="Q327" s="249"/>
      <c r="R327" s="272"/>
      <c r="S327" s="229"/>
      <c r="T327" s="229"/>
      <c r="U327" s="229"/>
      <c r="V327" s="7"/>
      <c r="W327" s="6"/>
    </row>
    <row r="328" spans="1:69" s="17" customFormat="1" ht="12.75" hidden="1" customHeight="1" outlineLevel="1" x14ac:dyDescent="0.25">
      <c r="A328" s="152"/>
      <c r="B328" s="181"/>
      <c r="C328" s="54"/>
      <c r="D328" s="54"/>
      <c r="E328" s="54"/>
      <c r="F328" s="219" t="s">
        <v>61</v>
      </c>
      <c r="G328" s="230"/>
      <c r="H328" s="228"/>
      <c r="I328" s="68"/>
      <c r="J328" s="61"/>
      <c r="M328" s="150"/>
      <c r="N328" s="232"/>
      <c r="O328" s="249"/>
      <c r="P328" s="330">
        <v>0.25</v>
      </c>
      <c r="Q328" s="249"/>
      <c r="R328" s="272"/>
      <c r="S328" s="229"/>
      <c r="T328" s="229"/>
      <c r="U328" s="229"/>
      <c r="V328" s="7"/>
      <c r="W328" s="6"/>
    </row>
    <row r="329" spans="1:69" s="17" customFormat="1" ht="7.5" hidden="1" customHeight="1" outlineLevel="1" x14ac:dyDescent="0.25">
      <c r="A329" s="152"/>
      <c r="B329" s="181"/>
      <c r="C329" s="54"/>
      <c r="D329" s="54"/>
      <c r="E329" s="54"/>
      <c r="F329" s="219" t="s">
        <v>46</v>
      </c>
      <c r="G329" s="230"/>
      <c r="H329" s="228"/>
      <c r="I329" s="69"/>
      <c r="J329" s="61"/>
      <c r="M329" s="150"/>
      <c r="N329" s="232"/>
      <c r="O329" s="249"/>
      <c r="P329" s="330">
        <v>0.25</v>
      </c>
      <c r="Q329" s="249"/>
      <c r="R329" s="272"/>
      <c r="S329" s="229"/>
      <c r="T329" s="229"/>
      <c r="U329" s="229"/>
      <c r="V329" s="7"/>
      <c r="W329" s="6"/>
    </row>
    <row r="330" spans="1:69" s="400" customFormat="1" ht="12.75" customHeight="1" collapsed="1" x14ac:dyDescent="0.25">
      <c r="A330" s="419"/>
      <c r="B330" s="402" t="s">
        <v>128</v>
      </c>
      <c r="C330" s="387" t="s">
        <v>107</v>
      </c>
      <c r="D330" s="387"/>
      <c r="E330" s="387"/>
      <c r="F330" s="388"/>
      <c r="G330" s="403"/>
      <c r="H330" s="403" t="s">
        <v>81</v>
      </c>
      <c r="I330" s="411"/>
      <c r="J330" s="411"/>
      <c r="M330" s="404"/>
      <c r="N330" s="328">
        <f t="shared" ref="N330" si="112">ROUND(M330*0.12,2)</f>
        <v>0</v>
      </c>
      <c r="O330" s="329">
        <f t="shared" ref="O330" si="113">ROUND(M330*0.08,2)</f>
        <v>0</v>
      </c>
      <c r="P330" s="330">
        <v>0.25</v>
      </c>
      <c r="Q330" s="329">
        <f t="shared" ref="Q330" si="114">P330*M330</f>
        <v>0</v>
      </c>
      <c r="R330" s="331">
        <f t="shared" ref="R330" si="115">ROUND((M330+Q330)*0.05,2)</f>
        <v>0</v>
      </c>
      <c r="S330" s="332">
        <f t="shared" ref="S330" si="116">R330+Q330</f>
        <v>0</v>
      </c>
      <c r="T330" s="332">
        <f t="shared" ref="T330" si="117">M330+S330</f>
        <v>0</v>
      </c>
      <c r="U330" s="332" t="e">
        <f t="shared" ref="U330" si="118">T330/G330</f>
        <v>#DIV/0!</v>
      </c>
      <c r="V330" s="56"/>
      <c r="W330" s="15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</row>
    <row r="331" spans="1:69" s="17" customFormat="1" ht="12.75" hidden="1" customHeight="1" outlineLevel="1" x14ac:dyDescent="0.25">
      <c r="A331" s="152"/>
      <c r="B331" s="192"/>
      <c r="C331" s="32"/>
      <c r="F331" s="130"/>
      <c r="G331" s="230"/>
      <c r="H331" s="228"/>
      <c r="M331" s="150"/>
      <c r="N331" s="232"/>
      <c r="O331" s="249"/>
      <c r="P331" s="330">
        <v>0.25</v>
      </c>
      <c r="Q331" s="249"/>
      <c r="R331" s="272"/>
      <c r="S331" s="229"/>
      <c r="T331" s="229"/>
      <c r="U331" s="229"/>
      <c r="V331" s="7"/>
      <c r="W331" s="6"/>
    </row>
    <row r="332" spans="1:69" s="17" customFormat="1" ht="12.75" hidden="1" customHeight="1" outlineLevel="1" x14ac:dyDescent="0.25">
      <c r="A332" s="152"/>
      <c r="B332" s="181"/>
      <c r="C332" s="54"/>
      <c r="D332" s="76" t="s">
        <v>41</v>
      </c>
      <c r="E332" s="60" t="s">
        <v>43</v>
      </c>
      <c r="F332" s="183" t="s">
        <v>44</v>
      </c>
      <c r="G332" s="230"/>
      <c r="H332" s="228"/>
      <c r="I332" s="60"/>
      <c r="J332" s="61"/>
      <c r="M332" s="150"/>
      <c r="N332" s="232"/>
      <c r="O332" s="249"/>
      <c r="P332" s="330">
        <v>0.25</v>
      </c>
      <c r="Q332" s="249"/>
      <c r="R332" s="272"/>
      <c r="S332" s="229"/>
      <c r="T332" s="229"/>
      <c r="U332" s="229"/>
      <c r="V332" s="7"/>
      <c r="W332" s="6"/>
    </row>
    <row r="333" spans="1:69" s="17" customFormat="1" ht="12.75" hidden="1" customHeight="1" outlineLevel="1" x14ac:dyDescent="0.25">
      <c r="A333" s="152"/>
      <c r="B333" s="181"/>
      <c r="C333" s="54"/>
      <c r="D333" s="77"/>
      <c r="E333" s="78">
        <v>30</v>
      </c>
      <c r="F333" s="218" t="s">
        <v>81</v>
      </c>
      <c r="G333" s="230"/>
      <c r="H333" s="228"/>
      <c r="I333" s="63"/>
      <c r="J333" s="64"/>
      <c r="M333" s="150"/>
      <c r="N333" s="232"/>
      <c r="O333" s="249"/>
      <c r="P333" s="330">
        <v>0.25</v>
      </c>
      <c r="Q333" s="249"/>
      <c r="R333" s="272"/>
      <c r="S333" s="229"/>
      <c r="T333" s="229"/>
      <c r="U333" s="229"/>
      <c r="V333" s="7"/>
      <c r="W333" s="6"/>
    </row>
    <row r="334" spans="1:69" s="17" customFormat="1" ht="12.75" hidden="1" customHeight="1" outlineLevel="1" x14ac:dyDescent="0.25">
      <c r="A334" s="152"/>
      <c r="B334" s="181"/>
      <c r="C334" s="54"/>
      <c r="D334" s="54"/>
      <c r="E334" s="64"/>
      <c r="F334" s="219" t="s">
        <v>58</v>
      </c>
      <c r="G334" s="230"/>
      <c r="H334" s="228"/>
      <c r="I334" s="67"/>
      <c r="J334" s="61"/>
      <c r="M334" s="150"/>
      <c r="N334" s="232"/>
      <c r="O334" s="249"/>
      <c r="P334" s="330">
        <v>0.25</v>
      </c>
      <c r="Q334" s="249"/>
      <c r="R334" s="272"/>
      <c r="S334" s="229"/>
      <c r="T334" s="229"/>
      <c r="U334" s="229"/>
      <c r="V334" s="7"/>
      <c r="W334" s="6"/>
    </row>
    <row r="335" spans="1:69" s="17" customFormat="1" ht="12.75" hidden="1" customHeight="1" outlineLevel="1" x14ac:dyDescent="0.25">
      <c r="A335" s="152"/>
      <c r="B335" s="181"/>
      <c r="C335" s="54"/>
      <c r="D335" s="54"/>
      <c r="E335" s="54"/>
      <c r="F335" s="219" t="s">
        <v>61</v>
      </c>
      <c r="G335" s="230"/>
      <c r="H335" s="228"/>
      <c r="I335" s="68"/>
      <c r="J335" s="61"/>
      <c r="M335" s="150"/>
      <c r="N335" s="232"/>
      <c r="O335" s="249"/>
      <c r="P335" s="330">
        <v>0.25</v>
      </c>
      <c r="Q335" s="249"/>
      <c r="R335" s="272"/>
      <c r="S335" s="229"/>
      <c r="T335" s="229"/>
      <c r="U335" s="229"/>
      <c r="V335" s="7"/>
      <c r="W335" s="6"/>
    </row>
    <row r="336" spans="1:69" s="17" customFormat="1" ht="12.75" hidden="1" customHeight="1" outlineLevel="1" x14ac:dyDescent="0.25">
      <c r="A336" s="152"/>
      <c r="B336" s="181"/>
      <c r="C336" s="54"/>
      <c r="D336" s="54"/>
      <c r="E336" s="54"/>
      <c r="F336" s="219" t="s">
        <v>46</v>
      </c>
      <c r="G336" s="230"/>
      <c r="H336" s="228"/>
      <c r="I336" s="69"/>
      <c r="J336" s="61"/>
      <c r="M336" s="150"/>
      <c r="N336" s="232"/>
      <c r="O336" s="249"/>
      <c r="P336" s="330">
        <v>0.25</v>
      </c>
      <c r="Q336" s="249"/>
      <c r="R336" s="272"/>
      <c r="S336" s="229"/>
      <c r="T336" s="229"/>
      <c r="U336" s="229"/>
      <c r="V336" s="7"/>
      <c r="W336" s="6"/>
    </row>
    <row r="337" spans="1:69" s="400" customFormat="1" ht="12.75" customHeight="1" collapsed="1" x14ac:dyDescent="0.25">
      <c r="A337" s="419"/>
      <c r="B337" s="402" t="s">
        <v>129</v>
      </c>
      <c r="C337" s="387" t="s">
        <v>155</v>
      </c>
      <c r="D337" s="387"/>
      <c r="E337" s="387"/>
      <c r="F337" s="388"/>
      <c r="G337" s="403"/>
      <c r="H337" s="403" t="s">
        <v>81</v>
      </c>
      <c r="I337" s="411"/>
      <c r="J337" s="411"/>
      <c r="M337" s="404"/>
      <c r="N337" s="328">
        <f t="shared" ref="N337" si="119">ROUND(M337*0.12,2)</f>
        <v>0</v>
      </c>
      <c r="O337" s="329">
        <f t="shared" ref="O337" si="120">ROUND(M337*0.08,2)</f>
        <v>0</v>
      </c>
      <c r="P337" s="330">
        <v>0.25</v>
      </c>
      <c r="Q337" s="329">
        <f t="shared" ref="Q337" si="121">P337*M337</f>
        <v>0</v>
      </c>
      <c r="R337" s="331">
        <f t="shared" ref="R337" si="122">ROUND((M337+Q337)*0.05,2)</f>
        <v>0</v>
      </c>
      <c r="S337" s="332">
        <f t="shared" ref="S337" si="123">R337+Q337</f>
        <v>0</v>
      </c>
      <c r="T337" s="332">
        <f t="shared" ref="T337" si="124">M337+S337</f>
        <v>0</v>
      </c>
      <c r="U337" s="332" t="e">
        <f t="shared" ref="U337" si="125">T337/G337</f>
        <v>#DIV/0!</v>
      </c>
      <c r="V337" s="56"/>
      <c r="W337" s="15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</row>
    <row r="338" spans="1:69" s="17" customFormat="1" ht="12.75" hidden="1" customHeight="1" outlineLevel="1" x14ac:dyDescent="0.25">
      <c r="A338" s="152"/>
      <c r="B338" s="192"/>
      <c r="C338" s="32"/>
      <c r="F338" s="130"/>
      <c r="G338" s="230"/>
      <c r="H338" s="228"/>
      <c r="M338" s="150"/>
      <c r="N338" s="232"/>
      <c r="O338" s="249"/>
      <c r="P338" s="330">
        <v>0.25</v>
      </c>
      <c r="Q338" s="249"/>
      <c r="R338" s="272"/>
      <c r="S338" s="229"/>
      <c r="T338" s="229"/>
      <c r="U338" s="229"/>
      <c r="V338" s="7"/>
      <c r="W338" s="6"/>
    </row>
    <row r="339" spans="1:69" s="17" customFormat="1" ht="12.75" hidden="1" customHeight="1" outlineLevel="1" x14ac:dyDescent="0.25">
      <c r="A339" s="152"/>
      <c r="B339" s="181"/>
      <c r="C339" s="54"/>
      <c r="D339" s="76" t="s">
        <v>41</v>
      </c>
      <c r="E339" s="60" t="s">
        <v>43</v>
      </c>
      <c r="F339" s="183" t="s">
        <v>44</v>
      </c>
      <c r="G339" s="230"/>
      <c r="H339" s="228"/>
      <c r="I339" s="60"/>
      <c r="J339" s="61"/>
      <c r="M339" s="150"/>
      <c r="N339" s="232"/>
      <c r="O339" s="249"/>
      <c r="P339" s="330">
        <v>0.25</v>
      </c>
      <c r="Q339" s="249"/>
      <c r="R339" s="272"/>
      <c r="S339" s="229"/>
      <c r="T339" s="229"/>
      <c r="U339" s="229"/>
      <c r="V339" s="7"/>
      <c r="W339" s="6"/>
    </row>
    <row r="340" spans="1:69" s="17" customFormat="1" ht="12.75" hidden="1" customHeight="1" outlineLevel="1" x14ac:dyDescent="0.25">
      <c r="A340" s="152"/>
      <c r="B340" s="181"/>
      <c r="C340" s="54"/>
      <c r="D340" s="77"/>
      <c r="E340" s="78">
        <v>116</v>
      </c>
      <c r="F340" s="218" t="s">
        <v>81</v>
      </c>
      <c r="G340" s="230"/>
      <c r="H340" s="228"/>
      <c r="I340" s="63"/>
      <c r="J340" s="64"/>
      <c r="M340" s="150"/>
      <c r="N340" s="232"/>
      <c r="O340" s="249"/>
      <c r="P340" s="330">
        <v>0.25</v>
      </c>
      <c r="Q340" s="249"/>
      <c r="R340" s="272"/>
      <c r="S340" s="229"/>
      <c r="T340" s="229"/>
      <c r="U340" s="229"/>
      <c r="V340" s="7"/>
      <c r="W340" s="6"/>
    </row>
    <row r="341" spans="1:69" s="17" customFormat="1" ht="12.75" hidden="1" customHeight="1" outlineLevel="1" x14ac:dyDescent="0.25">
      <c r="A341" s="152"/>
      <c r="B341" s="181"/>
      <c r="C341" s="54"/>
      <c r="D341" s="54"/>
      <c r="E341" s="64"/>
      <c r="F341" s="219" t="s">
        <v>58</v>
      </c>
      <c r="G341" s="230"/>
      <c r="H341" s="228"/>
      <c r="I341" s="67"/>
      <c r="J341" s="61"/>
      <c r="M341" s="150"/>
      <c r="N341" s="232"/>
      <c r="O341" s="249"/>
      <c r="P341" s="330">
        <v>0.25</v>
      </c>
      <c r="Q341" s="249"/>
      <c r="R341" s="272"/>
      <c r="S341" s="229"/>
      <c r="T341" s="229"/>
      <c r="U341" s="229"/>
      <c r="V341" s="7"/>
      <c r="W341" s="6"/>
    </row>
    <row r="342" spans="1:69" s="17" customFormat="1" ht="12.75" hidden="1" customHeight="1" outlineLevel="1" x14ac:dyDescent="0.25">
      <c r="A342" s="152"/>
      <c r="B342" s="181"/>
      <c r="C342" s="54"/>
      <c r="D342" s="54"/>
      <c r="E342" s="54"/>
      <c r="F342" s="219" t="s">
        <v>61</v>
      </c>
      <c r="G342" s="230"/>
      <c r="H342" s="228"/>
      <c r="I342" s="68"/>
      <c r="J342" s="61"/>
      <c r="M342" s="150"/>
      <c r="N342" s="232"/>
      <c r="O342" s="249"/>
      <c r="P342" s="330">
        <v>0.25</v>
      </c>
      <c r="Q342" s="249"/>
      <c r="R342" s="272"/>
      <c r="S342" s="229"/>
      <c r="T342" s="229"/>
      <c r="U342" s="229"/>
      <c r="V342" s="7"/>
      <c r="W342" s="6"/>
    </row>
    <row r="343" spans="1:69" s="17" customFormat="1" ht="12.75" hidden="1" customHeight="1" outlineLevel="1" x14ac:dyDescent="0.25">
      <c r="A343" s="152"/>
      <c r="B343" s="181"/>
      <c r="C343" s="54"/>
      <c r="D343" s="54"/>
      <c r="E343" s="54"/>
      <c r="F343" s="219" t="s">
        <v>46</v>
      </c>
      <c r="G343" s="230"/>
      <c r="H343" s="228"/>
      <c r="I343" s="69"/>
      <c r="J343" s="61"/>
      <c r="M343" s="150"/>
      <c r="N343" s="232"/>
      <c r="O343" s="249"/>
      <c r="P343" s="330">
        <v>0.25</v>
      </c>
      <c r="Q343" s="249"/>
      <c r="R343" s="272"/>
      <c r="S343" s="229"/>
      <c r="T343" s="229"/>
      <c r="U343" s="229"/>
      <c r="V343" s="7"/>
      <c r="W343" s="6"/>
    </row>
    <row r="344" spans="1:69" s="400" customFormat="1" ht="12.75" customHeight="1" collapsed="1" x14ac:dyDescent="0.25">
      <c r="A344" s="419"/>
      <c r="B344" s="402" t="s">
        <v>136</v>
      </c>
      <c r="C344" s="387" t="s">
        <v>108</v>
      </c>
      <c r="D344" s="387"/>
      <c r="E344" s="387"/>
      <c r="F344" s="388"/>
      <c r="G344" s="403"/>
      <c r="H344" s="403" t="s">
        <v>81</v>
      </c>
      <c r="I344" s="411"/>
      <c r="J344" s="411"/>
      <c r="M344" s="404"/>
      <c r="N344" s="328">
        <f t="shared" ref="N344" si="126">ROUND(M344*0.12,2)</f>
        <v>0</v>
      </c>
      <c r="O344" s="329">
        <f t="shared" ref="O344" si="127">ROUND(M344*0.08,2)</f>
        <v>0</v>
      </c>
      <c r="P344" s="330">
        <v>0.25</v>
      </c>
      <c r="Q344" s="329">
        <f t="shared" ref="Q344" si="128">P344*M344</f>
        <v>0</v>
      </c>
      <c r="R344" s="331">
        <f t="shared" ref="R344" si="129">ROUND((M344+Q344)*0.05,2)</f>
        <v>0</v>
      </c>
      <c r="S344" s="332">
        <f t="shared" ref="S344" si="130">R344+Q344</f>
        <v>0</v>
      </c>
      <c r="T344" s="332">
        <f t="shared" ref="T344" si="131">M344+S344</f>
        <v>0</v>
      </c>
      <c r="U344" s="332" t="e">
        <f t="shared" ref="U344" si="132">T344/G344</f>
        <v>#DIV/0!</v>
      </c>
      <c r="V344" s="56"/>
      <c r="W344" s="15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</row>
    <row r="345" spans="1:69" s="17" customFormat="1" ht="12.75" hidden="1" customHeight="1" outlineLevel="1" x14ac:dyDescent="0.25">
      <c r="A345" s="152"/>
      <c r="B345" s="192"/>
      <c r="C345" s="32"/>
      <c r="F345" s="130"/>
      <c r="G345" s="230"/>
      <c r="H345" s="228"/>
      <c r="M345" s="150"/>
      <c r="N345" s="232"/>
      <c r="O345" s="249"/>
      <c r="P345" s="330">
        <v>0.25</v>
      </c>
      <c r="Q345" s="249"/>
      <c r="R345" s="272"/>
      <c r="S345" s="229"/>
      <c r="T345" s="229"/>
      <c r="U345" s="229"/>
      <c r="V345" s="7"/>
      <c r="W345" s="6"/>
    </row>
    <row r="346" spans="1:69" s="17" customFormat="1" ht="12.75" hidden="1" customHeight="1" outlineLevel="1" x14ac:dyDescent="0.25">
      <c r="A346" s="152"/>
      <c r="B346" s="181"/>
      <c r="C346" s="54"/>
      <c r="D346" s="76" t="s">
        <v>41</v>
      </c>
      <c r="E346" s="60" t="s">
        <v>43</v>
      </c>
      <c r="F346" s="183" t="s">
        <v>44</v>
      </c>
      <c r="G346" s="230"/>
      <c r="H346" s="228"/>
      <c r="I346" s="60"/>
      <c r="J346" s="61"/>
      <c r="M346" s="150"/>
      <c r="N346" s="232"/>
      <c r="O346" s="249"/>
      <c r="P346" s="330">
        <v>0.25</v>
      </c>
      <c r="Q346" s="249"/>
      <c r="R346" s="272"/>
      <c r="S346" s="229"/>
      <c r="T346" s="229"/>
      <c r="U346" s="229"/>
      <c r="V346" s="7"/>
      <c r="W346" s="6"/>
    </row>
    <row r="347" spans="1:69" s="17" customFormat="1" ht="12.75" hidden="1" customHeight="1" outlineLevel="1" x14ac:dyDescent="0.25">
      <c r="A347" s="152"/>
      <c r="B347" s="181"/>
      <c r="C347" s="54"/>
      <c r="D347" s="77"/>
      <c r="E347" s="78">
        <v>20</v>
      </c>
      <c r="F347" s="218" t="s">
        <v>81</v>
      </c>
      <c r="G347" s="230"/>
      <c r="H347" s="228"/>
      <c r="I347" s="63"/>
      <c r="J347" s="64"/>
      <c r="M347" s="150"/>
      <c r="N347" s="232"/>
      <c r="O347" s="249"/>
      <c r="P347" s="330">
        <v>0.25</v>
      </c>
      <c r="Q347" s="249"/>
      <c r="R347" s="272"/>
      <c r="S347" s="229"/>
      <c r="T347" s="229"/>
      <c r="U347" s="229"/>
      <c r="V347" s="7"/>
      <c r="W347" s="6"/>
    </row>
    <row r="348" spans="1:69" s="17" customFormat="1" ht="12.75" hidden="1" customHeight="1" outlineLevel="1" x14ac:dyDescent="0.25">
      <c r="A348" s="152"/>
      <c r="B348" s="181"/>
      <c r="C348" s="54"/>
      <c r="D348" s="54"/>
      <c r="E348" s="64"/>
      <c r="F348" s="219" t="s">
        <v>58</v>
      </c>
      <c r="G348" s="230"/>
      <c r="H348" s="228"/>
      <c r="I348" s="67"/>
      <c r="J348" s="61"/>
      <c r="M348" s="150"/>
      <c r="N348" s="232"/>
      <c r="O348" s="249"/>
      <c r="P348" s="330">
        <v>0.25</v>
      </c>
      <c r="Q348" s="249"/>
      <c r="R348" s="272"/>
      <c r="S348" s="229"/>
      <c r="T348" s="229"/>
      <c r="U348" s="229"/>
      <c r="V348" s="7"/>
      <c r="W348" s="6"/>
    </row>
    <row r="349" spans="1:69" s="17" customFormat="1" ht="12.75" hidden="1" customHeight="1" outlineLevel="1" x14ac:dyDescent="0.25">
      <c r="A349" s="152"/>
      <c r="B349" s="181"/>
      <c r="C349" s="54"/>
      <c r="D349" s="54"/>
      <c r="E349" s="54"/>
      <c r="F349" s="219" t="s">
        <v>61</v>
      </c>
      <c r="G349" s="230"/>
      <c r="H349" s="228"/>
      <c r="I349" s="68"/>
      <c r="J349" s="61"/>
      <c r="M349" s="150"/>
      <c r="N349" s="232"/>
      <c r="O349" s="249"/>
      <c r="P349" s="330">
        <v>0.25</v>
      </c>
      <c r="Q349" s="249"/>
      <c r="R349" s="272"/>
      <c r="S349" s="229"/>
      <c r="T349" s="229"/>
      <c r="U349" s="229"/>
      <c r="V349" s="7"/>
      <c r="W349" s="6"/>
    </row>
    <row r="350" spans="1:69" s="17" customFormat="1" ht="12.75" hidden="1" customHeight="1" outlineLevel="1" x14ac:dyDescent="0.25">
      <c r="A350" s="152"/>
      <c r="B350" s="181"/>
      <c r="C350" s="54"/>
      <c r="D350" s="54"/>
      <c r="E350" s="54"/>
      <c r="F350" s="219" t="s">
        <v>46</v>
      </c>
      <c r="G350" s="230"/>
      <c r="H350" s="228"/>
      <c r="I350" s="69"/>
      <c r="J350" s="61"/>
      <c r="M350" s="150"/>
      <c r="N350" s="232"/>
      <c r="O350" s="249"/>
      <c r="P350" s="330">
        <v>0.25</v>
      </c>
      <c r="Q350" s="249"/>
      <c r="R350" s="272"/>
      <c r="S350" s="229"/>
      <c r="T350" s="229"/>
      <c r="U350" s="229"/>
      <c r="V350" s="7"/>
      <c r="W350" s="6"/>
    </row>
    <row r="351" spans="1:69" s="400" customFormat="1" ht="12.75" customHeight="1" collapsed="1" x14ac:dyDescent="0.25">
      <c r="A351" s="419"/>
      <c r="B351" s="402" t="s">
        <v>158</v>
      </c>
      <c r="C351" s="387" t="s">
        <v>157</v>
      </c>
      <c r="D351" s="387"/>
      <c r="E351" s="387"/>
      <c r="F351" s="388"/>
      <c r="G351" s="403"/>
      <c r="H351" s="403" t="s">
        <v>81</v>
      </c>
      <c r="I351" s="411"/>
      <c r="J351" s="411"/>
      <c r="M351" s="404"/>
      <c r="N351" s="328">
        <f t="shared" ref="N351" si="133">ROUND(M351*0.12,2)</f>
        <v>0</v>
      </c>
      <c r="O351" s="329">
        <f t="shared" ref="O351" si="134">ROUND(M351*0.08,2)</f>
        <v>0</v>
      </c>
      <c r="P351" s="330">
        <v>0.25</v>
      </c>
      <c r="Q351" s="329">
        <f t="shared" ref="Q351" si="135">P351*M351</f>
        <v>0</v>
      </c>
      <c r="R351" s="331">
        <f t="shared" ref="R351" si="136">ROUND((M351+Q351)*0.05,2)</f>
        <v>0</v>
      </c>
      <c r="S351" s="332">
        <f t="shared" ref="S351" si="137">R351+Q351</f>
        <v>0</v>
      </c>
      <c r="T351" s="332">
        <f t="shared" ref="T351" si="138">M351+S351</f>
        <v>0</v>
      </c>
      <c r="U351" s="332" t="e">
        <f t="shared" ref="U351" si="139">T351/G351</f>
        <v>#DIV/0!</v>
      </c>
      <c r="V351" s="56"/>
      <c r="W351" s="15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</row>
    <row r="352" spans="1:69" s="17" customFormat="1" ht="12.75" hidden="1" customHeight="1" outlineLevel="1" x14ac:dyDescent="0.25">
      <c r="A352" s="152"/>
      <c r="B352" s="192"/>
      <c r="C352" s="32"/>
      <c r="F352" s="130"/>
      <c r="G352" s="230"/>
      <c r="H352" s="228"/>
      <c r="M352" s="150"/>
      <c r="N352" s="262"/>
      <c r="O352" s="206"/>
      <c r="P352" s="266"/>
      <c r="Q352" s="206"/>
      <c r="R352" s="240"/>
      <c r="S352" s="150"/>
      <c r="T352" s="150"/>
      <c r="U352" s="445"/>
      <c r="V352" s="7"/>
      <c r="W352" s="6"/>
    </row>
    <row r="353" spans="1:69" s="17" customFormat="1" ht="12.75" hidden="1" customHeight="1" outlineLevel="1" x14ac:dyDescent="0.25">
      <c r="A353" s="144"/>
      <c r="B353" s="134"/>
      <c r="C353" s="54"/>
      <c r="D353" s="76" t="s">
        <v>41</v>
      </c>
      <c r="E353" s="60" t="s">
        <v>43</v>
      </c>
      <c r="F353" s="183" t="s">
        <v>44</v>
      </c>
      <c r="G353" s="230"/>
      <c r="H353" s="228"/>
      <c r="I353" s="60"/>
      <c r="J353" s="61"/>
      <c r="M353" s="150"/>
      <c r="N353" s="262"/>
      <c r="O353" s="206"/>
      <c r="P353" s="266"/>
      <c r="Q353" s="206"/>
      <c r="R353" s="240"/>
      <c r="S353" s="150"/>
      <c r="T353" s="150"/>
      <c r="U353" s="445"/>
      <c r="V353" s="7"/>
      <c r="W353" s="6"/>
    </row>
    <row r="354" spans="1:69" s="17" customFormat="1" ht="12.75" hidden="1" customHeight="1" outlineLevel="1" x14ac:dyDescent="0.25">
      <c r="A354" s="144"/>
      <c r="B354" s="134"/>
      <c r="C354" s="54"/>
      <c r="D354" s="77"/>
      <c r="E354" s="78">
        <v>231</v>
      </c>
      <c r="F354" s="218" t="s">
        <v>81</v>
      </c>
      <c r="G354" s="230"/>
      <c r="H354" s="228"/>
      <c r="I354" s="63"/>
      <c r="J354" s="64"/>
      <c r="M354" s="150"/>
      <c r="N354" s="262"/>
      <c r="O354" s="206"/>
      <c r="P354" s="266"/>
      <c r="Q354" s="206"/>
      <c r="R354" s="240"/>
      <c r="S354" s="150"/>
      <c r="T354" s="150"/>
      <c r="U354" s="445"/>
      <c r="V354" s="7"/>
      <c r="W354" s="6"/>
    </row>
    <row r="355" spans="1:69" s="17" customFormat="1" ht="12.75" hidden="1" customHeight="1" outlineLevel="1" x14ac:dyDescent="0.25">
      <c r="A355" s="144"/>
      <c r="B355" s="134"/>
      <c r="C355" s="54"/>
      <c r="D355" s="54"/>
      <c r="E355" s="64"/>
      <c r="F355" s="219" t="s">
        <v>58</v>
      </c>
      <c r="G355" s="230"/>
      <c r="H355" s="228"/>
      <c r="I355" s="67"/>
      <c r="J355" s="61"/>
      <c r="M355" s="150"/>
      <c r="N355" s="262"/>
      <c r="O355" s="206"/>
      <c r="P355" s="266"/>
      <c r="Q355" s="206"/>
      <c r="R355" s="240"/>
      <c r="S355" s="150"/>
      <c r="T355" s="150"/>
      <c r="U355" s="445"/>
      <c r="V355" s="7"/>
      <c r="W355" s="6"/>
    </row>
    <row r="356" spans="1:69" s="17" customFormat="1" ht="12.75" hidden="1" customHeight="1" outlineLevel="1" x14ac:dyDescent="0.25">
      <c r="A356" s="144"/>
      <c r="B356" s="134"/>
      <c r="C356" s="54"/>
      <c r="D356" s="54"/>
      <c r="E356" s="54"/>
      <c r="F356" s="219" t="s">
        <v>61</v>
      </c>
      <c r="G356" s="230"/>
      <c r="H356" s="228"/>
      <c r="I356" s="68"/>
      <c r="J356" s="61"/>
      <c r="M356" s="150"/>
      <c r="N356" s="262"/>
      <c r="O356" s="206"/>
      <c r="P356" s="266"/>
      <c r="Q356" s="206"/>
      <c r="R356" s="240"/>
      <c r="S356" s="150"/>
      <c r="T356" s="150"/>
      <c r="U356" s="445"/>
      <c r="V356" s="7"/>
      <c r="W356" s="6"/>
    </row>
    <row r="357" spans="1:69" s="17" customFormat="1" ht="12.75" hidden="1" customHeight="1" outlineLevel="1" x14ac:dyDescent="0.25">
      <c r="A357" s="144"/>
      <c r="B357" s="134"/>
      <c r="C357" s="54"/>
      <c r="D357" s="54"/>
      <c r="E357" s="54"/>
      <c r="F357" s="219" t="s">
        <v>46</v>
      </c>
      <c r="G357" s="230"/>
      <c r="H357" s="228"/>
      <c r="I357" s="69"/>
      <c r="J357" s="61"/>
      <c r="M357" s="150"/>
      <c r="N357" s="262"/>
      <c r="O357" s="206"/>
      <c r="P357" s="266"/>
      <c r="Q357" s="206"/>
      <c r="R357" s="240"/>
      <c r="S357" s="150"/>
      <c r="T357" s="150"/>
      <c r="U357" s="445"/>
      <c r="V357" s="7"/>
      <c r="W357" s="6"/>
    </row>
    <row r="358" spans="1:69" s="400" customFormat="1" ht="12.75" customHeight="1" collapsed="1" x14ac:dyDescent="0.25">
      <c r="A358" s="401">
        <v>14.7</v>
      </c>
      <c r="B358" s="412" t="s">
        <v>109</v>
      </c>
      <c r="C358" s="413"/>
      <c r="D358" s="413"/>
      <c r="E358" s="413"/>
      <c r="F358" s="414"/>
      <c r="G358" s="415"/>
      <c r="H358" s="416"/>
      <c r="I358" s="417"/>
      <c r="J358" s="417"/>
      <c r="M358" s="396"/>
      <c r="N358" s="397"/>
      <c r="O358" s="398"/>
      <c r="P358" s="303"/>
      <c r="Q358" s="398"/>
      <c r="R358" s="399"/>
      <c r="S358" s="396"/>
      <c r="T358" s="396"/>
      <c r="U358" s="444"/>
      <c r="V358" s="54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</row>
    <row r="359" spans="1:69" s="400" customFormat="1" ht="12.75" customHeight="1" x14ac:dyDescent="0.25">
      <c r="A359" s="405"/>
      <c r="B359" s="406" t="s">
        <v>130</v>
      </c>
      <c r="C359" s="408" t="s">
        <v>110</v>
      </c>
      <c r="D359" s="408"/>
      <c r="E359" s="408"/>
      <c r="F359" s="409"/>
      <c r="G359" s="403"/>
      <c r="H359" s="403" t="s">
        <v>50</v>
      </c>
      <c r="I359" s="411"/>
      <c r="J359" s="411"/>
      <c r="M359" s="404"/>
      <c r="N359" s="328">
        <f t="shared" ref="N359" si="140">ROUND(M359*0.12,2)</f>
        <v>0</v>
      </c>
      <c r="O359" s="329">
        <f t="shared" ref="O359" si="141">ROUND(M359*0.08,2)</f>
        <v>0</v>
      </c>
      <c r="P359" s="330">
        <v>0.25</v>
      </c>
      <c r="Q359" s="329">
        <f t="shared" ref="Q359" si="142">P359*M359</f>
        <v>0</v>
      </c>
      <c r="R359" s="331">
        <f t="shared" ref="R359" si="143">ROUND((M359+Q359)*0.05,2)</f>
        <v>0</v>
      </c>
      <c r="S359" s="332">
        <f t="shared" ref="S359" si="144">R359+Q359</f>
        <v>0</v>
      </c>
      <c r="T359" s="332">
        <f t="shared" ref="T359" si="145">M359+S359</f>
        <v>0</v>
      </c>
      <c r="U359" s="332" t="e">
        <f t="shared" ref="U359" si="146">T359/G359</f>
        <v>#DIV/0!</v>
      </c>
      <c r="V359" s="56"/>
      <c r="W359" s="15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</row>
    <row r="360" spans="1:69" s="17" customFormat="1" ht="12.75" hidden="1" customHeight="1" outlineLevel="1" x14ac:dyDescent="0.25">
      <c r="A360" s="157"/>
      <c r="B360" s="212"/>
      <c r="C360" s="42"/>
      <c r="D360" s="41"/>
      <c r="E360" s="41"/>
      <c r="F360" s="194"/>
      <c r="G360" s="230"/>
      <c r="H360" s="228"/>
      <c r="M360" s="150"/>
      <c r="N360" s="232"/>
      <c r="O360" s="249"/>
      <c r="P360" s="330">
        <v>0.25</v>
      </c>
      <c r="Q360" s="249"/>
      <c r="R360" s="272"/>
      <c r="S360" s="229"/>
      <c r="T360" s="229"/>
      <c r="U360" s="229"/>
      <c r="V360" s="7"/>
      <c r="W360" s="6"/>
    </row>
    <row r="361" spans="1:69" s="17" customFormat="1" ht="12.75" hidden="1" customHeight="1" outlineLevel="1" x14ac:dyDescent="0.25">
      <c r="A361" s="157"/>
      <c r="B361" s="217"/>
      <c r="C361" s="46"/>
      <c r="D361" s="70" t="s">
        <v>41</v>
      </c>
      <c r="E361" s="71" t="s">
        <v>43</v>
      </c>
      <c r="F361" s="214" t="s">
        <v>44</v>
      </c>
      <c r="G361" s="230"/>
      <c r="H361" s="228"/>
      <c r="I361" s="60"/>
      <c r="J361" s="61"/>
      <c r="M361" s="150"/>
      <c r="N361" s="232"/>
      <c r="O361" s="249"/>
      <c r="P361" s="330">
        <v>0.25</v>
      </c>
      <c r="Q361" s="249"/>
      <c r="R361" s="272"/>
      <c r="S361" s="229"/>
      <c r="T361" s="229"/>
      <c r="U361" s="229"/>
      <c r="V361" s="7"/>
      <c r="W361" s="6"/>
    </row>
    <row r="362" spans="1:69" s="17" customFormat="1" ht="12.75" hidden="1" customHeight="1" outlineLevel="1" x14ac:dyDescent="0.25">
      <c r="A362" s="157"/>
      <c r="B362" s="217"/>
      <c r="C362" s="46"/>
      <c r="D362" s="72"/>
      <c r="E362" s="73">
        <v>17</v>
      </c>
      <c r="F362" s="215" t="s">
        <v>50</v>
      </c>
      <c r="G362" s="230"/>
      <c r="H362" s="228"/>
      <c r="I362" s="63"/>
      <c r="J362" s="64"/>
      <c r="M362" s="150"/>
      <c r="N362" s="232"/>
      <c r="O362" s="249"/>
      <c r="P362" s="330">
        <v>0.25</v>
      </c>
      <c r="Q362" s="249"/>
      <c r="R362" s="272"/>
      <c r="S362" s="229"/>
      <c r="T362" s="229"/>
      <c r="U362" s="229"/>
      <c r="V362" s="7"/>
      <c r="W362" s="6"/>
    </row>
    <row r="363" spans="1:69" s="17" customFormat="1" ht="12.75" hidden="1" customHeight="1" outlineLevel="1" x14ac:dyDescent="0.25">
      <c r="A363" s="157"/>
      <c r="B363" s="217"/>
      <c r="C363" s="46"/>
      <c r="D363" s="46"/>
      <c r="E363" s="74"/>
      <c r="F363" s="216" t="s">
        <v>58</v>
      </c>
      <c r="G363" s="230"/>
      <c r="H363" s="228"/>
      <c r="I363" s="67"/>
      <c r="J363" s="61"/>
      <c r="M363" s="150"/>
      <c r="N363" s="232"/>
      <c r="O363" s="249"/>
      <c r="P363" s="330">
        <v>0.25</v>
      </c>
      <c r="Q363" s="249"/>
      <c r="R363" s="272"/>
      <c r="S363" s="229"/>
      <c r="T363" s="229"/>
      <c r="U363" s="229"/>
      <c r="V363" s="7"/>
      <c r="W363" s="6"/>
    </row>
    <row r="364" spans="1:69" s="17" customFormat="1" ht="12.75" hidden="1" customHeight="1" outlineLevel="1" x14ac:dyDescent="0.25">
      <c r="A364" s="157"/>
      <c r="B364" s="217"/>
      <c r="C364" s="46"/>
      <c r="D364" s="46"/>
      <c r="E364" s="46"/>
      <c r="F364" s="216" t="s">
        <v>61</v>
      </c>
      <c r="G364" s="230"/>
      <c r="H364" s="228"/>
      <c r="I364" s="68"/>
      <c r="J364" s="61"/>
      <c r="M364" s="150"/>
      <c r="N364" s="232"/>
      <c r="O364" s="249"/>
      <c r="P364" s="330">
        <v>0.25</v>
      </c>
      <c r="Q364" s="249"/>
      <c r="R364" s="272"/>
      <c r="S364" s="229"/>
      <c r="T364" s="229"/>
      <c r="U364" s="229"/>
      <c r="V364" s="7"/>
      <c r="W364" s="6"/>
    </row>
    <row r="365" spans="1:69" s="17" customFormat="1" ht="12.75" hidden="1" customHeight="1" outlineLevel="1" x14ac:dyDescent="0.25">
      <c r="A365" s="157"/>
      <c r="B365" s="217"/>
      <c r="C365" s="46"/>
      <c r="D365" s="46"/>
      <c r="E365" s="46"/>
      <c r="F365" s="216" t="s">
        <v>46</v>
      </c>
      <c r="G365" s="230"/>
      <c r="H365" s="228"/>
      <c r="I365" s="69"/>
      <c r="J365" s="61"/>
      <c r="M365" s="150"/>
      <c r="N365" s="232"/>
      <c r="O365" s="249"/>
      <c r="P365" s="330">
        <v>0.25</v>
      </c>
      <c r="Q365" s="249"/>
      <c r="R365" s="272"/>
      <c r="S365" s="229"/>
      <c r="T365" s="229"/>
      <c r="U365" s="229"/>
      <c r="V365" s="7"/>
      <c r="W365" s="6"/>
    </row>
    <row r="366" spans="1:69" s="400" customFormat="1" ht="12.75" customHeight="1" collapsed="1" x14ac:dyDescent="0.25">
      <c r="A366" s="405"/>
      <c r="B366" s="406" t="s">
        <v>131</v>
      </c>
      <c r="C366" s="408" t="s">
        <v>111</v>
      </c>
      <c r="D366" s="408"/>
      <c r="E366" s="408"/>
      <c r="F366" s="409"/>
      <c r="G366" s="403"/>
      <c r="H366" s="403" t="s">
        <v>93</v>
      </c>
      <c r="I366" s="411"/>
      <c r="J366" s="411"/>
      <c r="M366" s="404"/>
      <c r="N366" s="328">
        <f t="shared" ref="N366" si="147">ROUND(M366*0.12,2)</f>
        <v>0</v>
      </c>
      <c r="O366" s="329">
        <f t="shared" ref="O366" si="148">ROUND(M366*0.08,2)</f>
        <v>0</v>
      </c>
      <c r="P366" s="330">
        <v>0.25</v>
      </c>
      <c r="Q366" s="329">
        <f t="shared" ref="Q366" si="149">P366*M366</f>
        <v>0</v>
      </c>
      <c r="R366" s="331">
        <f t="shared" ref="R366" si="150">ROUND((M366+Q366)*0.05,2)</f>
        <v>0</v>
      </c>
      <c r="S366" s="332">
        <f t="shared" ref="S366" si="151">R366+Q366</f>
        <v>0</v>
      </c>
      <c r="T366" s="332">
        <f t="shared" ref="T366" si="152">M366+S366</f>
        <v>0</v>
      </c>
      <c r="U366" s="332" t="e">
        <f t="shared" ref="U366" si="153">T366/G366</f>
        <v>#DIV/0!</v>
      </c>
      <c r="V366" s="56"/>
      <c r="W366" s="15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</row>
    <row r="367" spans="1:69" s="17" customFormat="1" ht="12.75" hidden="1" customHeight="1" outlineLevel="1" x14ac:dyDescent="0.25">
      <c r="A367" s="157"/>
      <c r="B367" s="212"/>
      <c r="C367" s="42"/>
      <c r="D367" s="41"/>
      <c r="E367" s="41"/>
      <c r="F367" s="194"/>
      <c r="G367" s="230"/>
      <c r="H367" s="228"/>
      <c r="M367" s="150"/>
      <c r="N367" s="232"/>
      <c r="O367" s="249"/>
      <c r="P367" s="330">
        <v>0.25</v>
      </c>
      <c r="Q367" s="249"/>
      <c r="R367" s="272"/>
      <c r="S367" s="229"/>
      <c r="T367" s="229"/>
      <c r="U367" s="229"/>
      <c r="V367" s="7"/>
      <c r="W367" s="6"/>
    </row>
    <row r="368" spans="1:69" s="17" customFormat="1" ht="12.75" hidden="1" customHeight="1" outlineLevel="1" x14ac:dyDescent="0.25">
      <c r="A368" s="157"/>
      <c r="B368" s="217"/>
      <c r="C368" s="46"/>
      <c r="D368" s="70" t="s">
        <v>41</v>
      </c>
      <c r="E368" s="71" t="s">
        <v>43</v>
      </c>
      <c r="F368" s="214" t="s">
        <v>44</v>
      </c>
      <c r="G368" s="230"/>
      <c r="H368" s="228"/>
      <c r="I368" s="60"/>
      <c r="J368" s="61"/>
      <c r="M368" s="150"/>
      <c r="N368" s="232"/>
      <c r="O368" s="249"/>
      <c r="P368" s="330">
        <v>0.25</v>
      </c>
      <c r="Q368" s="249"/>
      <c r="R368" s="272"/>
      <c r="S368" s="229"/>
      <c r="T368" s="229"/>
      <c r="U368" s="229"/>
      <c r="V368" s="7"/>
      <c r="W368" s="6"/>
    </row>
    <row r="369" spans="1:69" s="17" customFormat="1" ht="12.75" hidden="1" customHeight="1" outlineLevel="1" x14ac:dyDescent="0.25">
      <c r="A369" s="157"/>
      <c r="B369" s="217"/>
      <c r="C369" s="46"/>
      <c r="D369" s="72"/>
      <c r="E369" s="73">
        <v>10</v>
      </c>
      <c r="F369" s="215" t="s">
        <v>93</v>
      </c>
      <c r="G369" s="230"/>
      <c r="H369" s="228"/>
      <c r="I369" s="63"/>
      <c r="J369" s="64"/>
      <c r="M369" s="150"/>
      <c r="N369" s="232"/>
      <c r="O369" s="249"/>
      <c r="P369" s="330">
        <v>0.25</v>
      </c>
      <c r="Q369" s="249"/>
      <c r="R369" s="272"/>
      <c r="S369" s="229"/>
      <c r="T369" s="229"/>
      <c r="U369" s="229"/>
      <c r="V369" s="7"/>
      <c r="W369" s="6"/>
    </row>
    <row r="370" spans="1:69" s="17" customFormat="1" ht="12.75" hidden="1" customHeight="1" outlineLevel="1" x14ac:dyDescent="0.25">
      <c r="A370" s="157"/>
      <c r="B370" s="217"/>
      <c r="C370" s="46"/>
      <c r="D370" s="46"/>
      <c r="E370" s="74"/>
      <c r="F370" s="216" t="s">
        <v>58</v>
      </c>
      <c r="G370" s="230"/>
      <c r="H370" s="228"/>
      <c r="I370" s="67"/>
      <c r="J370" s="61"/>
      <c r="M370" s="150"/>
      <c r="N370" s="232"/>
      <c r="O370" s="249"/>
      <c r="P370" s="330">
        <v>0.25</v>
      </c>
      <c r="Q370" s="249"/>
      <c r="R370" s="272"/>
      <c r="S370" s="229"/>
      <c r="T370" s="229"/>
      <c r="U370" s="229"/>
      <c r="V370" s="7"/>
      <c r="W370" s="6"/>
    </row>
    <row r="371" spans="1:69" s="17" customFormat="1" ht="12.75" hidden="1" customHeight="1" outlineLevel="1" x14ac:dyDescent="0.25">
      <c r="A371" s="157"/>
      <c r="B371" s="217"/>
      <c r="C371" s="46"/>
      <c r="D371" s="46"/>
      <c r="E371" s="46"/>
      <c r="F371" s="216" t="s">
        <v>61</v>
      </c>
      <c r="G371" s="230"/>
      <c r="H371" s="228"/>
      <c r="I371" s="68"/>
      <c r="J371" s="61"/>
      <c r="M371" s="150"/>
      <c r="N371" s="232"/>
      <c r="O371" s="249"/>
      <c r="P371" s="330">
        <v>0.25</v>
      </c>
      <c r="Q371" s="249"/>
      <c r="R371" s="272"/>
      <c r="S371" s="229"/>
      <c r="T371" s="229"/>
      <c r="U371" s="229"/>
      <c r="V371" s="7"/>
      <c r="W371" s="6"/>
    </row>
    <row r="372" spans="1:69" s="17" customFormat="1" ht="12.75" hidden="1" customHeight="1" outlineLevel="1" x14ac:dyDescent="0.25">
      <c r="A372" s="157"/>
      <c r="B372" s="217"/>
      <c r="C372" s="46"/>
      <c r="D372" s="46"/>
      <c r="E372" s="46"/>
      <c r="F372" s="216" t="s">
        <v>46</v>
      </c>
      <c r="G372" s="230"/>
      <c r="H372" s="228"/>
      <c r="I372" s="69"/>
      <c r="J372" s="61"/>
      <c r="M372" s="150"/>
      <c r="N372" s="232"/>
      <c r="O372" s="249"/>
      <c r="P372" s="330">
        <v>0.25</v>
      </c>
      <c r="Q372" s="249"/>
      <c r="R372" s="272"/>
      <c r="S372" s="229"/>
      <c r="T372" s="229"/>
      <c r="U372" s="229"/>
      <c r="V372" s="7"/>
      <c r="W372" s="6"/>
    </row>
    <row r="373" spans="1:69" s="400" customFormat="1" ht="12.75" customHeight="1" collapsed="1" x14ac:dyDescent="0.25">
      <c r="A373" s="405"/>
      <c r="B373" s="406" t="s">
        <v>132</v>
      </c>
      <c r="C373" s="408" t="s">
        <v>112</v>
      </c>
      <c r="D373" s="408"/>
      <c r="E373" s="408"/>
      <c r="F373" s="409"/>
      <c r="G373" s="403"/>
      <c r="H373" s="403" t="s">
        <v>93</v>
      </c>
      <c r="I373" s="411"/>
      <c r="J373" s="411"/>
      <c r="M373" s="404"/>
      <c r="N373" s="328">
        <f t="shared" ref="N373" si="154">ROUND(M373*0.12,2)</f>
        <v>0</v>
      </c>
      <c r="O373" s="329">
        <f t="shared" ref="O373" si="155">ROUND(M373*0.08,2)</f>
        <v>0</v>
      </c>
      <c r="P373" s="330">
        <v>0.25</v>
      </c>
      <c r="Q373" s="329">
        <f t="shared" ref="Q373" si="156">P373*M373</f>
        <v>0</v>
      </c>
      <c r="R373" s="331">
        <f t="shared" ref="R373" si="157">ROUND((M373+Q373)*0.05,2)</f>
        <v>0</v>
      </c>
      <c r="S373" s="332">
        <f t="shared" ref="S373" si="158">R373+Q373</f>
        <v>0</v>
      </c>
      <c r="T373" s="332">
        <f t="shared" ref="T373" si="159">M373+S373</f>
        <v>0</v>
      </c>
      <c r="U373" s="332" t="e">
        <f t="shared" ref="U373" si="160">T373/G373</f>
        <v>#DIV/0!</v>
      </c>
      <c r="V373" s="56"/>
      <c r="W373" s="15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</row>
    <row r="374" spans="1:69" s="17" customFormat="1" ht="12.75" hidden="1" customHeight="1" outlineLevel="1" x14ac:dyDescent="0.25">
      <c r="A374" s="157"/>
      <c r="B374" s="212"/>
      <c r="C374" s="42"/>
      <c r="D374" s="41"/>
      <c r="E374" s="41"/>
      <c r="F374" s="194"/>
      <c r="G374" s="230"/>
      <c r="H374" s="228"/>
      <c r="M374" s="150"/>
      <c r="N374" s="232"/>
      <c r="O374" s="249"/>
      <c r="P374" s="330">
        <v>0.25</v>
      </c>
      <c r="Q374" s="249"/>
      <c r="R374" s="272"/>
      <c r="S374" s="229"/>
      <c r="T374" s="229"/>
      <c r="U374" s="229"/>
      <c r="V374" s="7"/>
      <c r="W374" s="6"/>
    </row>
    <row r="375" spans="1:69" s="17" customFormat="1" ht="12.75" hidden="1" customHeight="1" outlineLevel="1" x14ac:dyDescent="0.25">
      <c r="A375" s="157"/>
      <c r="B375" s="217"/>
      <c r="C375" s="46"/>
      <c r="D375" s="70" t="s">
        <v>41</v>
      </c>
      <c r="E375" s="71" t="s">
        <v>43</v>
      </c>
      <c r="F375" s="214" t="s">
        <v>44</v>
      </c>
      <c r="G375" s="230"/>
      <c r="H375" s="228"/>
      <c r="I375" s="60"/>
      <c r="J375" s="61"/>
      <c r="M375" s="150"/>
      <c r="N375" s="232"/>
      <c r="O375" s="249"/>
      <c r="P375" s="330">
        <v>0.25</v>
      </c>
      <c r="Q375" s="249"/>
      <c r="R375" s="272"/>
      <c r="S375" s="229"/>
      <c r="T375" s="229"/>
      <c r="U375" s="229"/>
      <c r="V375" s="7"/>
      <c r="W375" s="6"/>
    </row>
    <row r="376" spans="1:69" s="17" customFormat="1" ht="12.75" hidden="1" customHeight="1" outlineLevel="1" x14ac:dyDescent="0.25">
      <c r="A376" s="157"/>
      <c r="B376" s="217"/>
      <c r="C376" s="46"/>
      <c r="D376" s="72"/>
      <c r="E376" s="73">
        <v>18</v>
      </c>
      <c r="F376" s="215" t="s">
        <v>50</v>
      </c>
      <c r="G376" s="230"/>
      <c r="H376" s="228"/>
      <c r="I376" s="63"/>
      <c r="J376" s="64"/>
      <c r="M376" s="150"/>
      <c r="N376" s="232"/>
      <c r="O376" s="249"/>
      <c r="P376" s="330">
        <v>0.25</v>
      </c>
      <c r="Q376" s="249"/>
      <c r="R376" s="272"/>
      <c r="S376" s="229"/>
      <c r="T376" s="229"/>
      <c r="U376" s="229"/>
      <c r="V376" s="7"/>
      <c r="W376" s="6"/>
    </row>
    <row r="377" spans="1:69" s="17" customFormat="1" ht="12.75" hidden="1" customHeight="1" outlineLevel="1" x14ac:dyDescent="0.25">
      <c r="A377" s="157"/>
      <c r="B377" s="217"/>
      <c r="C377" s="46"/>
      <c r="D377" s="46"/>
      <c r="E377" s="74"/>
      <c r="F377" s="216" t="s">
        <v>58</v>
      </c>
      <c r="G377" s="230"/>
      <c r="H377" s="228"/>
      <c r="I377" s="67"/>
      <c r="J377" s="61"/>
      <c r="M377" s="150"/>
      <c r="N377" s="232"/>
      <c r="O377" s="249"/>
      <c r="P377" s="330">
        <v>0.25</v>
      </c>
      <c r="Q377" s="249"/>
      <c r="R377" s="272"/>
      <c r="S377" s="229"/>
      <c r="T377" s="229"/>
      <c r="U377" s="229"/>
      <c r="V377" s="7"/>
      <c r="W377" s="6"/>
    </row>
    <row r="378" spans="1:69" s="17" customFormat="1" ht="12.75" hidden="1" customHeight="1" outlineLevel="1" x14ac:dyDescent="0.25">
      <c r="A378" s="157"/>
      <c r="B378" s="217"/>
      <c r="C378" s="46"/>
      <c r="D378" s="46"/>
      <c r="E378" s="46"/>
      <c r="F378" s="216" t="s">
        <v>61</v>
      </c>
      <c r="G378" s="230"/>
      <c r="H378" s="228"/>
      <c r="I378" s="68"/>
      <c r="J378" s="61"/>
      <c r="M378" s="150"/>
      <c r="N378" s="232"/>
      <c r="O378" s="249"/>
      <c r="P378" s="330">
        <v>0.25</v>
      </c>
      <c r="Q378" s="249"/>
      <c r="R378" s="272"/>
      <c r="S378" s="229"/>
      <c r="T378" s="229"/>
      <c r="U378" s="229"/>
      <c r="V378" s="7"/>
      <c r="W378" s="6"/>
    </row>
    <row r="379" spans="1:69" s="17" customFormat="1" ht="12.75" hidden="1" customHeight="1" outlineLevel="1" x14ac:dyDescent="0.25">
      <c r="A379" s="157"/>
      <c r="B379" s="217"/>
      <c r="C379" s="46"/>
      <c r="D379" s="46"/>
      <c r="E379" s="46"/>
      <c r="F379" s="216" t="s">
        <v>46</v>
      </c>
      <c r="G379" s="230"/>
      <c r="H379" s="228"/>
      <c r="I379" s="69"/>
      <c r="J379" s="61"/>
      <c r="M379" s="150"/>
      <c r="N379" s="232"/>
      <c r="O379" s="249"/>
      <c r="P379" s="330">
        <v>0.25</v>
      </c>
      <c r="Q379" s="249"/>
      <c r="R379" s="272"/>
      <c r="S379" s="229"/>
      <c r="T379" s="229"/>
      <c r="U379" s="229"/>
      <c r="V379" s="7"/>
      <c r="W379" s="6"/>
    </row>
    <row r="380" spans="1:69" s="400" customFormat="1" ht="12.75" hidden="1" customHeight="1" collapsed="1" x14ac:dyDescent="0.25">
      <c r="A380" s="405"/>
      <c r="B380" s="406" t="s">
        <v>159</v>
      </c>
      <c r="C380" s="408" t="s">
        <v>113</v>
      </c>
      <c r="D380" s="408"/>
      <c r="E380" s="408"/>
      <c r="F380" s="409"/>
      <c r="G380" s="403"/>
      <c r="H380" s="403" t="s">
        <v>50</v>
      </c>
      <c r="I380" s="411"/>
      <c r="J380" s="411"/>
      <c r="M380" s="404"/>
      <c r="N380" s="328">
        <f t="shared" ref="N380" si="161">ROUND(M380*0.12,2)</f>
        <v>0</v>
      </c>
      <c r="O380" s="329">
        <f t="shared" ref="O380" si="162">ROUND(M380*0.08,2)</f>
        <v>0</v>
      </c>
      <c r="P380" s="330">
        <v>0.25</v>
      </c>
      <c r="Q380" s="329">
        <f t="shared" ref="Q380" si="163">P380*M380</f>
        <v>0</v>
      </c>
      <c r="R380" s="331">
        <f t="shared" ref="R380" si="164">ROUND((M380+Q380)*0.05,2)</f>
        <v>0</v>
      </c>
      <c r="S380" s="332">
        <f t="shared" ref="S380" si="165">R380+Q380</f>
        <v>0</v>
      </c>
      <c r="T380" s="332">
        <f t="shared" ref="T380" si="166">M380+S380</f>
        <v>0</v>
      </c>
      <c r="U380" s="332" t="e">
        <f t="shared" ref="U380" si="167">T380/G380</f>
        <v>#DIV/0!</v>
      </c>
      <c r="V380" s="56"/>
      <c r="W380" s="15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</row>
    <row r="381" spans="1:69" s="17" customFormat="1" ht="12.75" hidden="1" customHeight="1" outlineLevel="1" x14ac:dyDescent="0.25">
      <c r="A381" s="157"/>
      <c r="B381" s="212"/>
      <c r="C381" s="42"/>
      <c r="D381" s="41"/>
      <c r="E381" s="41"/>
      <c r="F381" s="194"/>
      <c r="G381" s="230"/>
      <c r="H381" s="228"/>
      <c r="M381" s="150"/>
      <c r="N381" s="232"/>
      <c r="O381" s="249"/>
      <c r="P381" s="330">
        <v>0.25</v>
      </c>
      <c r="Q381" s="249"/>
      <c r="R381" s="272"/>
      <c r="S381" s="229"/>
      <c r="T381" s="229"/>
      <c r="U381" s="229"/>
      <c r="V381" s="7"/>
      <c r="W381" s="6"/>
    </row>
    <row r="382" spans="1:69" s="17" customFormat="1" ht="12.75" hidden="1" customHeight="1" outlineLevel="1" x14ac:dyDescent="0.25">
      <c r="A382" s="157"/>
      <c r="B382" s="217"/>
      <c r="C382" s="46"/>
      <c r="D382" s="70" t="s">
        <v>41</v>
      </c>
      <c r="E382" s="71" t="s">
        <v>43</v>
      </c>
      <c r="F382" s="214" t="s">
        <v>44</v>
      </c>
      <c r="G382" s="230"/>
      <c r="H382" s="228"/>
      <c r="I382" s="60"/>
      <c r="J382" s="61"/>
      <c r="M382" s="150"/>
      <c r="N382" s="232"/>
      <c r="O382" s="249"/>
      <c r="P382" s="330">
        <v>0.25</v>
      </c>
      <c r="Q382" s="249"/>
      <c r="R382" s="272"/>
      <c r="S382" s="229"/>
      <c r="T382" s="229"/>
      <c r="U382" s="229"/>
      <c r="V382" s="7"/>
      <c r="W382" s="6"/>
    </row>
    <row r="383" spans="1:69" s="17" customFormat="1" ht="12.75" hidden="1" customHeight="1" outlineLevel="1" x14ac:dyDescent="0.25">
      <c r="A383" s="157"/>
      <c r="B383" s="217"/>
      <c r="C383" s="46"/>
      <c r="D383" s="72"/>
      <c r="E383" s="73">
        <v>6</v>
      </c>
      <c r="F383" s="215" t="s">
        <v>93</v>
      </c>
      <c r="G383" s="230"/>
      <c r="H383" s="228"/>
      <c r="I383" s="63"/>
      <c r="J383" s="64"/>
      <c r="M383" s="150"/>
      <c r="N383" s="232"/>
      <c r="O383" s="249"/>
      <c r="P383" s="330">
        <v>0.25</v>
      </c>
      <c r="Q383" s="249"/>
      <c r="R383" s="272"/>
      <c r="S383" s="229"/>
      <c r="T383" s="229"/>
      <c r="U383" s="229"/>
      <c r="V383" s="7"/>
      <c r="W383" s="6"/>
    </row>
    <row r="384" spans="1:69" s="17" customFormat="1" ht="12.75" hidden="1" customHeight="1" outlineLevel="1" x14ac:dyDescent="0.25">
      <c r="A384" s="157"/>
      <c r="B384" s="217"/>
      <c r="C384" s="46"/>
      <c r="D384" s="46"/>
      <c r="E384" s="74"/>
      <c r="F384" s="216" t="s">
        <v>58</v>
      </c>
      <c r="G384" s="230"/>
      <c r="H384" s="228"/>
      <c r="I384" s="67"/>
      <c r="J384" s="61"/>
      <c r="M384" s="150"/>
      <c r="N384" s="232"/>
      <c r="O384" s="249"/>
      <c r="P384" s="330">
        <v>0.25</v>
      </c>
      <c r="Q384" s="249"/>
      <c r="R384" s="272"/>
      <c r="S384" s="229"/>
      <c r="T384" s="229"/>
      <c r="U384" s="229"/>
      <c r="V384" s="7"/>
      <c r="W384" s="6"/>
    </row>
    <row r="385" spans="1:69" s="17" customFormat="1" ht="12.75" hidden="1" customHeight="1" outlineLevel="1" x14ac:dyDescent="0.25">
      <c r="A385" s="157"/>
      <c r="B385" s="217"/>
      <c r="C385" s="46"/>
      <c r="D385" s="46"/>
      <c r="E385" s="46"/>
      <c r="F385" s="216" t="s">
        <v>61</v>
      </c>
      <c r="G385" s="230"/>
      <c r="H385" s="228"/>
      <c r="I385" s="68"/>
      <c r="J385" s="61"/>
      <c r="M385" s="150"/>
      <c r="N385" s="232"/>
      <c r="O385" s="249"/>
      <c r="P385" s="330">
        <v>0.25</v>
      </c>
      <c r="Q385" s="249"/>
      <c r="R385" s="272"/>
      <c r="S385" s="229"/>
      <c r="T385" s="229"/>
      <c r="U385" s="229"/>
      <c r="V385" s="7"/>
      <c r="W385" s="6"/>
    </row>
    <row r="386" spans="1:69" s="17" customFormat="1" ht="12.75" hidden="1" customHeight="1" outlineLevel="1" x14ac:dyDescent="0.25">
      <c r="A386" s="157"/>
      <c r="B386" s="217"/>
      <c r="C386" s="46"/>
      <c r="D386" s="46"/>
      <c r="E386" s="46"/>
      <c r="F386" s="216" t="s">
        <v>46</v>
      </c>
      <c r="G386" s="230"/>
      <c r="H386" s="228"/>
      <c r="I386" s="69"/>
      <c r="J386" s="61"/>
      <c r="M386" s="150"/>
      <c r="N386" s="232"/>
      <c r="O386" s="249"/>
      <c r="P386" s="330">
        <v>0.25</v>
      </c>
      <c r="Q386" s="249"/>
      <c r="R386" s="272"/>
      <c r="S386" s="229"/>
      <c r="T386" s="229"/>
      <c r="U386" s="229"/>
      <c r="V386" s="7"/>
      <c r="W386" s="6"/>
    </row>
    <row r="387" spans="1:69" s="400" customFormat="1" ht="12.75" hidden="1" customHeight="1" collapsed="1" x14ac:dyDescent="0.25">
      <c r="A387" s="405"/>
      <c r="B387" s="406" t="s">
        <v>160</v>
      </c>
      <c r="C387" s="408" t="s">
        <v>114</v>
      </c>
      <c r="D387" s="408"/>
      <c r="E387" s="408"/>
      <c r="F387" s="409"/>
      <c r="G387" s="403"/>
      <c r="H387" s="403" t="s">
        <v>93</v>
      </c>
      <c r="I387" s="411"/>
      <c r="J387" s="411"/>
      <c r="M387" s="404"/>
      <c r="N387" s="328">
        <f t="shared" ref="N387" si="168">ROUND(M387*0.12,2)</f>
        <v>0</v>
      </c>
      <c r="O387" s="329">
        <f t="shared" ref="O387" si="169">ROUND(M387*0.08,2)</f>
        <v>0</v>
      </c>
      <c r="P387" s="330">
        <v>0.25</v>
      </c>
      <c r="Q387" s="329">
        <f t="shared" ref="Q387" si="170">P387*M387</f>
        <v>0</v>
      </c>
      <c r="R387" s="331">
        <f t="shared" ref="R387" si="171">ROUND((M387+Q387)*0.05,2)</f>
        <v>0</v>
      </c>
      <c r="S387" s="332">
        <f t="shared" ref="S387" si="172">R387+Q387</f>
        <v>0</v>
      </c>
      <c r="T387" s="332">
        <f t="shared" ref="T387" si="173">M387+S387</f>
        <v>0</v>
      </c>
      <c r="U387" s="332" t="e">
        <f t="shared" ref="U387" si="174">T387/G387</f>
        <v>#DIV/0!</v>
      </c>
      <c r="V387" s="56"/>
      <c r="W387" s="15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</row>
    <row r="388" spans="1:69" s="17" customFormat="1" ht="12.75" hidden="1" customHeight="1" outlineLevel="1" x14ac:dyDescent="0.25">
      <c r="A388" s="157"/>
      <c r="B388" s="212"/>
      <c r="C388" s="42"/>
      <c r="D388" s="41"/>
      <c r="E388" s="41"/>
      <c r="F388" s="194"/>
      <c r="G388" s="230"/>
      <c r="H388" s="228"/>
      <c r="M388" s="150"/>
      <c r="N388" s="232"/>
      <c r="O388" s="249"/>
      <c r="P388" s="330">
        <v>0.25</v>
      </c>
      <c r="Q388" s="249"/>
      <c r="R388" s="272"/>
      <c r="S388" s="229"/>
      <c r="T388" s="229"/>
      <c r="U388" s="229"/>
      <c r="V388" s="7"/>
      <c r="W388" s="6"/>
    </row>
    <row r="389" spans="1:69" s="17" customFormat="1" ht="12.75" hidden="1" customHeight="1" outlineLevel="1" x14ac:dyDescent="0.25">
      <c r="A389" s="157"/>
      <c r="B389" s="217"/>
      <c r="C389" s="46"/>
      <c r="D389" s="70" t="s">
        <v>41</v>
      </c>
      <c r="E389" s="71" t="s">
        <v>43</v>
      </c>
      <c r="F389" s="214" t="s">
        <v>44</v>
      </c>
      <c r="G389" s="230"/>
      <c r="H389" s="228"/>
      <c r="I389" s="60"/>
      <c r="J389" s="61"/>
      <c r="M389" s="150"/>
      <c r="N389" s="232"/>
      <c r="O389" s="249"/>
      <c r="P389" s="330">
        <v>0.25</v>
      </c>
      <c r="Q389" s="249"/>
      <c r="R389" s="272"/>
      <c r="S389" s="229"/>
      <c r="T389" s="229"/>
      <c r="U389" s="229"/>
      <c r="V389" s="7"/>
      <c r="W389" s="6"/>
    </row>
    <row r="390" spans="1:69" s="17" customFormat="1" ht="12.75" hidden="1" customHeight="1" outlineLevel="1" x14ac:dyDescent="0.25">
      <c r="A390" s="157"/>
      <c r="B390" s="217"/>
      <c r="C390" s="46"/>
      <c r="D390" s="72"/>
      <c r="E390" s="73">
        <v>16</v>
      </c>
      <c r="F390" s="215" t="s">
        <v>93</v>
      </c>
      <c r="G390" s="230"/>
      <c r="H390" s="228"/>
      <c r="I390" s="63"/>
      <c r="J390" s="64"/>
      <c r="M390" s="150"/>
      <c r="N390" s="232"/>
      <c r="O390" s="249"/>
      <c r="P390" s="330">
        <v>0.25</v>
      </c>
      <c r="Q390" s="249"/>
      <c r="R390" s="272"/>
      <c r="S390" s="229"/>
      <c r="T390" s="229"/>
      <c r="U390" s="229"/>
      <c r="V390" s="7"/>
      <c r="W390" s="6"/>
    </row>
    <row r="391" spans="1:69" s="17" customFormat="1" ht="12.75" hidden="1" customHeight="1" outlineLevel="1" x14ac:dyDescent="0.25">
      <c r="A391" s="157"/>
      <c r="B391" s="217"/>
      <c r="C391" s="46"/>
      <c r="D391" s="46"/>
      <c r="E391" s="74"/>
      <c r="F391" s="216" t="s">
        <v>58</v>
      </c>
      <c r="G391" s="230"/>
      <c r="H391" s="228"/>
      <c r="I391" s="67"/>
      <c r="J391" s="61"/>
      <c r="M391" s="150"/>
      <c r="N391" s="232"/>
      <c r="O391" s="249"/>
      <c r="P391" s="330">
        <v>0.25</v>
      </c>
      <c r="Q391" s="249"/>
      <c r="R391" s="272"/>
      <c r="S391" s="229"/>
      <c r="T391" s="229"/>
      <c r="U391" s="229"/>
      <c r="V391" s="7"/>
      <c r="W391" s="6"/>
    </row>
    <row r="392" spans="1:69" s="17" customFormat="1" ht="12.75" hidden="1" customHeight="1" outlineLevel="1" x14ac:dyDescent="0.25">
      <c r="A392" s="157"/>
      <c r="B392" s="217"/>
      <c r="C392" s="46"/>
      <c r="D392" s="46"/>
      <c r="E392" s="46"/>
      <c r="F392" s="216" t="s">
        <v>61</v>
      </c>
      <c r="G392" s="230"/>
      <c r="H392" s="228"/>
      <c r="I392" s="68"/>
      <c r="J392" s="61"/>
      <c r="M392" s="150"/>
      <c r="N392" s="232"/>
      <c r="O392" s="249"/>
      <c r="P392" s="330">
        <v>0.25</v>
      </c>
      <c r="Q392" s="249"/>
      <c r="R392" s="272"/>
      <c r="S392" s="229"/>
      <c r="T392" s="229"/>
      <c r="U392" s="229"/>
      <c r="V392" s="7"/>
      <c r="W392" s="6"/>
    </row>
    <row r="393" spans="1:69" s="17" customFormat="1" ht="12.75" hidden="1" customHeight="1" outlineLevel="1" x14ac:dyDescent="0.25">
      <c r="A393" s="157"/>
      <c r="B393" s="217"/>
      <c r="C393" s="46"/>
      <c r="D393" s="46"/>
      <c r="E393" s="46"/>
      <c r="F393" s="216" t="s">
        <v>46</v>
      </c>
      <c r="G393" s="230"/>
      <c r="H393" s="228"/>
      <c r="I393" s="69"/>
      <c r="J393" s="61"/>
      <c r="M393" s="150"/>
      <c r="N393" s="232"/>
      <c r="O393" s="249"/>
      <c r="P393" s="330">
        <v>0.25</v>
      </c>
      <c r="Q393" s="249"/>
      <c r="R393" s="272"/>
      <c r="S393" s="229"/>
      <c r="T393" s="229"/>
      <c r="U393" s="229"/>
      <c r="V393" s="7"/>
      <c r="W393" s="6"/>
    </row>
    <row r="394" spans="1:69" s="400" customFormat="1" ht="12.75" hidden="1" customHeight="1" collapsed="1" x14ac:dyDescent="0.25">
      <c r="A394" s="405"/>
      <c r="B394" s="406" t="s">
        <v>161</v>
      </c>
      <c r="C394" s="407" t="s">
        <v>115</v>
      </c>
      <c r="D394" s="407"/>
      <c r="E394" s="407"/>
      <c r="F394" s="410"/>
      <c r="G394" s="403"/>
      <c r="H394" s="403" t="s">
        <v>105</v>
      </c>
      <c r="I394" s="420"/>
      <c r="J394" s="420"/>
      <c r="M394" s="404"/>
      <c r="N394" s="328">
        <f t="shared" ref="N394" si="175">ROUND(M394*0.12,2)</f>
        <v>0</v>
      </c>
      <c r="O394" s="329">
        <f t="shared" ref="O394" si="176">ROUND(M394*0.08,2)</f>
        <v>0</v>
      </c>
      <c r="P394" s="330">
        <v>0.25</v>
      </c>
      <c r="Q394" s="329">
        <f t="shared" ref="Q394" si="177">P394*M394</f>
        <v>0</v>
      </c>
      <c r="R394" s="331">
        <f t="shared" ref="R394" si="178">ROUND((M394+Q394)*0.05,2)</f>
        <v>0</v>
      </c>
      <c r="S394" s="332">
        <f t="shared" ref="S394" si="179">R394+Q394</f>
        <v>0</v>
      </c>
      <c r="T394" s="332">
        <f t="shared" ref="T394" si="180">M394+S394</f>
        <v>0</v>
      </c>
      <c r="U394" s="332" t="e">
        <f t="shared" ref="U394" si="181">T394/G394</f>
        <v>#DIV/0!</v>
      </c>
      <c r="V394" s="56"/>
      <c r="W394" s="15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</row>
    <row r="395" spans="1:69" s="17" customFormat="1" ht="12.75" hidden="1" customHeight="1" outlineLevel="1" x14ac:dyDescent="0.25">
      <c r="A395" s="157"/>
      <c r="B395" s="212"/>
      <c r="C395" s="42"/>
      <c r="D395" s="41"/>
      <c r="E395" s="41"/>
      <c r="F395" s="194"/>
      <c r="G395" s="230"/>
      <c r="H395" s="228"/>
      <c r="M395" s="150"/>
      <c r="N395" s="232"/>
      <c r="O395" s="249"/>
      <c r="P395" s="330">
        <v>0.25</v>
      </c>
      <c r="Q395" s="249"/>
      <c r="R395" s="272"/>
      <c r="S395" s="229"/>
      <c r="T395" s="229"/>
      <c r="U395" s="229"/>
      <c r="V395" s="7"/>
      <c r="W395" s="6"/>
    </row>
    <row r="396" spans="1:69" s="17" customFormat="1" ht="12.75" hidden="1" customHeight="1" outlineLevel="1" x14ac:dyDescent="0.25">
      <c r="A396" s="157"/>
      <c r="B396" s="217"/>
      <c r="C396" s="46"/>
      <c r="D396" s="70" t="s">
        <v>41</v>
      </c>
      <c r="E396" s="71" t="s">
        <v>43</v>
      </c>
      <c r="F396" s="214" t="s">
        <v>44</v>
      </c>
      <c r="G396" s="230"/>
      <c r="H396" s="228"/>
      <c r="I396" s="60"/>
      <c r="J396" s="61"/>
      <c r="M396" s="150"/>
      <c r="N396" s="232"/>
      <c r="O396" s="249"/>
      <c r="P396" s="330">
        <v>0.25</v>
      </c>
      <c r="Q396" s="249"/>
      <c r="R396" s="272"/>
      <c r="S396" s="229"/>
      <c r="T396" s="229"/>
      <c r="U396" s="229"/>
      <c r="V396" s="7"/>
      <c r="W396" s="6"/>
    </row>
    <row r="397" spans="1:69" s="17" customFormat="1" ht="12.75" hidden="1" customHeight="1" outlineLevel="1" x14ac:dyDescent="0.25">
      <c r="A397" s="157"/>
      <c r="B397" s="217"/>
      <c r="C397" s="46"/>
      <c r="D397" s="72"/>
      <c r="E397" s="73">
        <v>30</v>
      </c>
      <c r="F397" s="215" t="s">
        <v>50</v>
      </c>
      <c r="G397" s="230"/>
      <c r="H397" s="228"/>
      <c r="I397" s="63"/>
      <c r="J397" s="64"/>
      <c r="M397" s="150"/>
      <c r="N397" s="232"/>
      <c r="O397" s="249"/>
      <c r="P397" s="330">
        <v>0.25</v>
      </c>
      <c r="Q397" s="249"/>
      <c r="R397" s="272"/>
      <c r="S397" s="229"/>
      <c r="T397" s="229"/>
      <c r="U397" s="229"/>
      <c r="V397" s="7"/>
      <c r="W397" s="6"/>
    </row>
    <row r="398" spans="1:69" s="17" customFormat="1" ht="12.75" hidden="1" customHeight="1" outlineLevel="1" x14ac:dyDescent="0.25">
      <c r="A398" s="157"/>
      <c r="B398" s="217"/>
      <c r="C398" s="46"/>
      <c r="D398" s="46"/>
      <c r="E398" s="74"/>
      <c r="F398" s="216" t="s">
        <v>58</v>
      </c>
      <c r="G398" s="230"/>
      <c r="H398" s="228"/>
      <c r="I398" s="67"/>
      <c r="J398" s="61"/>
      <c r="M398" s="150"/>
      <c r="N398" s="232"/>
      <c r="O398" s="249"/>
      <c r="P398" s="330">
        <v>0.25</v>
      </c>
      <c r="Q398" s="249"/>
      <c r="R398" s="272"/>
      <c r="S398" s="229"/>
      <c r="T398" s="229"/>
      <c r="U398" s="229"/>
      <c r="V398" s="7"/>
      <c r="W398" s="6"/>
    </row>
    <row r="399" spans="1:69" s="17" customFormat="1" ht="12.75" hidden="1" customHeight="1" outlineLevel="1" x14ac:dyDescent="0.25">
      <c r="A399" s="157"/>
      <c r="B399" s="217"/>
      <c r="C399" s="46"/>
      <c r="D399" s="46"/>
      <c r="E399" s="46"/>
      <c r="F399" s="216" t="s">
        <v>61</v>
      </c>
      <c r="G399" s="230"/>
      <c r="H399" s="228"/>
      <c r="I399" s="68"/>
      <c r="J399" s="61"/>
      <c r="M399" s="150"/>
      <c r="N399" s="232"/>
      <c r="O399" s="249"/>
      <c r="P399" s="330">
        <v>0.25</v>
      </c>
      <c r="Q399" s="249"/>
      <c r="R399" s="272"/>
      <c r="S399" s="229"/>
      <c r="T399" s="229"/>
      <c r="U399" s="229"/>
      <c r="V399" s="7"/>
      <c r="W399" s="6"/>
    </row>
    <row r="400" spans="1:69" s="17" customFormat="1" ht="12.75" hidden="1" customHeight="1" outlineLevel="1" x14ac:dyDescent="0.25">
      <c r="A400" s="157"/>
      <c r="B400" s="217"/>
      <c r="C400" s="46"/>
      <c r="D400" s="46"/>
      <c r="E400" s="46"/>
      <c r="F400" s="216" t="s">
        <v>46</v>
      </c>
      <c r="G400" s="230"/>
      <c r="H400" s="228"/>
      <c r="I400" s="69"/>
      <c r="J400" s="61"/>
      <c r="M400" s="150"/>
      <c r="N400" s="232"/>
      <c r="O400" s="249"/>
      <c r="P400" s="330">
        <v>0.25</v>
      </c>
      <c r="Q400" s="249"/>
      <c r="R400" s="272"/>
      <c r="S400" s="229"/>
      <c r="T400" s="229"/>
      <c r="U400" s="229"/>
      <c r="V400" s="7"/>
      <c r="W400" s="6"/>
    </row>
    <row r="401" spans="1:69" s="400" customFormat="1" ht="12.75" hidden="1" customHeight="1" collapsed="1" x14ac:dyDescent="0.25">
      <c r="A401" s="405"/>
      <c r="B401" s="406" t="s">
        <v>162</v>
      </c>
      <c r="C401" s="408" t="s">
        <v>116</v>
      </c>
      <c r="D401" s="408"/>
      <c r="E401" s="408"/>
      <c r="F401" s="409"/>
      <c r="G401" s="403"/>
      <c r="H401" s="403" t="s">
        <v>93</v>
      </c>
      <c r="I401" s="411"/>
      <c r="J401" s="411"/>
      <c r="M401" s="404"/>
      <c r="N401" s="328">
        <f t="shared" ref="N401" si="182">ROUND(M401*0.12,2)</f>
        <v>0</v>
      </c>
      <c r="O401" s="329">
        <f t="shared" ref="O401" si="183">ROUND(M401*0.08,2)</f>
        <v>0</v>
      </c>
      <c r="P401" s="330">
        <v>0.25</v>
      </c>
      <c r="Q401" s="329">
        <f t="shared" ref="Q401" si="184">P401*M401</f>
        <v>0</v>
      </c>
      <c r="R401" s="331">
        <f t="shared" ref="R401" si="185">ROUND((M401+Q401)*0.05,2)</f>
        <v>0</v>
      </c>
      <c r="S401" s="332">
        <f t="shared" ref="S401" si="186">R401+Q401</f>
        <v>0</v>
      </c>
      <c r="T401" s="332">
        <f t="shared" ref="T401" si="187">M401+S401</f>
        <v>0</v>
      </c>
      <c r="U401" s="332" t="e">
        <f t="shared" ref="U401" si="188">T401/G401</f>
        <v>#DIV/0!</v>
      </c>
      <c r="V401" s="56"/>
      <c r="W401" s="15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</row>
    <row r="402" spans="1:69" s="17" customFormat="1" ht="12.75" hidden="1" customHeight="1" outlineLevel="1" x14ac:dyDescent="0.25">
      <c r="A402" s="157"/>
      <c r="B402" s="212"/>
      <c r="C402" s="42"/>
      <c r="D402" s="41"/>
      <c r="E402" s="41"/>
      <c r="F402" s="194"/>
      <c r="G402" s="230"/>
      <c r="H402" s="228"/>
      <c r="M402" s="150"/>
      <c r="N402" s="232"/>
      <c r="O402" s="249"/>
      <c r="P402" s="330">
        <v>0.25</v>
      </c>
      <c r="Q402" s="249"/>
      <c r="R402" s="272"/>
      <c r="S402" s="229"/>
      <c r="T402" s="229"/>
      <c r="U402" s="229"/>
      <c r="V402" s="7"/>
      <c r="W402" s="6"/>
    </row>
    <row r="403" spans="1:69" s="17" customFormat="1" ht="12.75" hidden="1" customHeight="1" outlineLevel="1" x14ac:dyDescent="0.25">
      <c r="A403" s="157"/>
      <c r="B403" s="217"/>
      <c r="C403" s="46"/>
      <c r="D403" s="70" t="s">
        <v>41</v>
      </c>
      <c r="E403" s="71" t="s">
        <v>43</v>
      </c>
      <c r="F403" s="214" t="s">
        <v>44</v>
      </c>
      <c r="G403" s="230"/>
      <c r="H403" s="228"/>
      <c r="I403" s="60"/>
      <c r="J403" s="61"/>
      <c r="M403" s="150"/>
      <c r="N403" s="232"/>
      <c r="O403" s="249"/>
      <c r="P403" s="330">
        <v>0.25</v>
      </c>
      <c r="Q403" s="249"/>
      <c r="R403" s="272"/>
      <c r="S403" s="229"/>
      <c r="T403" s="229"/>
      <c r="U403" s="229"/>
      <c r="V403" s="7"/>
      <c r="W403" s="6"/>
    </row>
    <row r="404" spans="1:69" s="17" customFormat="1" ht="12.75" hidden="1" customHeight="1" outlineLevel="1" x14ac:dyDescent="0.25">
      <c r="A404" s="157"/>
      <c r="B404" s="217"/>
      <c r="C404" s="46"/>
      <c r="D404" s="72"/>
      <c r="E404" s="73">
        <v>170</v>
      </c>
      <c r="F404" s="215" t="s">
        <v>93</v>
      </c>
      <c r="G404" s="230"/>
      <c r="H404" s="228"/>
      <c r="I404" s="63"/>
      <c r="J404" s="64"/>
      <c r="M404" s="150"/>
      <c r="N404" s="232"/>
      <c r="O404" s="249"/>
      <c r="P404" s="330">
        <v>0.25</v>
      </c>
      <c r="Q404" s="249"/>
      <c r="R404" s="272"/>
      <c r="S404" s="229"/>
      <c r="T404" s="229"/>
      <c r="U404" s="229"/>
      <c r="V404" s="7"/>
      <c r="W404" s="6"/>
    </row>
    <row r="405" spans="1:69" s="17" customFormat="1" ht="12.75" hidden="1" customHeight="1" outlineLevel="1" x14ac:dyDescent="0.25">
      <c r="A405" s="157"/>
      <c r="B405" s="217"/>
      <c r="C405" s="46"/>
      <c r="D405" s="46"/>
      <c r="E405" s="74"/>
      <c r="F405" s="216" t="s">
        <v>58</v>
      </c>
      <c r="G405" s="230"/>
      <c r="H405" s="228"/>
      <c r="I405" s="67"/>
      <c r="J405" s="61"/>
      <c r="M405" s="150"/>
      <c r="N405" s="232"/>
      <c r="O405" s="249"/>
      <c r="P405" s="330">
        <v>0.25</v>
      </c>
      <c r="Q405" s="249"/>
      <c r="R405" s="272"/>
      <c r="S405" s="229"/>
      <c r="T405" s="229"/>
      <c r="U405" s="229"/>
      <c r="V405" s="7"/>
      <c r="W405" s="6"/>
    </row>
    <row r="406" spans="1:69" s="17" customFormat="1" ht="12.75" hidden="1" customHeight="1" outlineLevel="1" x14ac:dyDescent="0.25">
      <c r="A406" s="157"/>
      <c r="B406" s="217"/>
      <c r="C406" s="46"/>
      <c r="D406" s="46"/>
      <c r="E406" s="46"/>
      <c r="F406" s="216" t="s">
        <v>61</v>
      </c>
      <c r="G406" s="230"/>
      <c r="H406" s="228"/>
      <c r="I406" s="68"/>
      <c r="J406" s="61"/>
      <c r="M406" s="150"/>
      <c r="N406" s="232"/>
      <c r="O406" s="249"/>
      <c r="P406" s="330">
        <v>0.25</v>
      </c>
      <c r="Q406" s="249"/>
      <c r="R406" s="272"/>
      <c r="S406" s="229"/>
      <c r="T406" s="229"/>
      <c r="U406" s="229"/>
      <c r="V406" s="7"/>
      <c r="W406" s="6"/>
    </row>
    <row r="407" spans="1:69" s="17" customFormat="1" ht="12.75" hidden="1" customHeight="1" outlineLevel="1" x14ac:dyDescent="0.25">
      <c r="A407" s="157"/>
      <c r="B407" s="217"/>
      <c r="C407" s="46"/>
      <c r="D407" s="46"/>
      <c r="E407" s="46"/>
      <c r="F407" s="216" t="s">
        <v>46</v>
      </c>
      <c r="G407" s="230"/>
      <c r="H407" s="228"/>
      <c r="I407" s="69"/>
      <c r="J407" s="61"/>
      <c r="M407" s="150"/>
      <c r="N407" s="232"/>
      <c r="O407" s="249"/>
      <c r="P407" s="330">
        <v>0.25</v>
      </c>
      <c r="Q407" s="249"/>
      <c r="R407" s="272"/>
      <c r="S407" s="229"/>
      <c r="T407" s="229"/>
      <c r="U407" s="229"/>
      <c r="V407" s="7"/>
      <c r="W407" s="6"/>
    </row>
    <row r="408" spans="1:69" s="400" customFormat="1" ht="12.75" hidden="1" customHeight="1" collapsed="1" x14ac:dyDescent="0.25">
      <c r="A408" s="405"/>
      <c r="B408" s="406" t="s">
        <v>163</v>
      </c>
      <c r="C408" s="408" t="s">
        <v>117</v>
      </c>
      <c r="D408" s="408"/>
      <c r="E408" s="408"/>
      <c r="F408" s="409"/>
      <c r="G408" s="403"/>
      <c r="H408" s="403" t="s">
        <v>93</v>
      </c>
      <c r="I408" s="411"/>
      <c r="J408" s="411"/>
      <c r="M408" s="404"/>
      <c r="N408" s="328">
        <f t="shared" ref="N408" si="189">ROUND(M408*0.12,2)</f>
        <v>0</v>
      </c>
      <c r="O408" s="329">
        <f t="shared" ref="O408" si="190">ROUND(M408*0.08,2)</f>
        <v>0</v>
      </c>
      <c r="P408" s="330">
        <v>0.25</v>
      </c>
      <c r="Q408" s="329">
        <f t="shared" ref="Q408" si="191">P408*M408</f>
        <v>0</v>
      </c>
      <c r="R408" s="331">
        <f t="shared" ref="R408" si="192">ROUND((M408+Q408)*0.05,2)</f>
        <v>0</v>
      </c>
      <c r="S408" s="332">
        <f t="shared" ref="S408" si="193">R408+Q408</f>
        <v>0</v>
      </c>
      <c r="T408" s="332">
        <f t="shared" ref="T408" si="194">M408+S408</f>
        <v>0</v>
      </c>
      <c r="U408" s="332" t="e">
        <f t="shared" ref="U408" si="195">T408/G408</f>
        <v>#DIV/0!</v>
      </c>
      <c r="V408" s="56"/>
      <c r="W408" s="15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</row>
    <row r="409" spans="1:69" s="17" customFormat="1" ht="12.75" hidden="1" customHeight="1" outlineLevel="1" x14ac:dyDescent="0.25">
      <c r="A409" s="157"/>
      <c r="B409" s="212"/>
      <c r="C409" s="42"/>
      <c r="D409" s="41"/>
      <c r="E409" s="41"/>
      <c r="F409" s="194"/>
      <c r="G409" s="230"/>
      <c r="H409" s="228"/>
      <c r="M409" s="150"/>
      <c r="N409" s="232"/>
      <c r="O409" s="249"/>
      <c r="P409" s="330">
        <v>0.25</v>
      </c>
      <c r="Q409" s="249"/>
      <c r="R409" s="272"/>
      <c r="S409" s="229"/>
      <c r="T409" s="229"/>
      <c r="U409" s="229"/>
      <c r="V409" s="7"/>
      <c r="W409" s="6"/>
    </row>
    <row r="410" spans="1:69" s="17" customFormat="1" ht="12.75" hidden="1" customHeight="1" outlineLevel="1" x14ac:dyDescent="0.25">
      <c r="A410" s="157"/>
      <c r="B410" s="217"/>
      <c r="C410" s="46"/>
      <c r="D410" s="70" t="s">
        <v>41</v>
      </c>
      <c r="E410" s="71" t="s">
        <v>43</v>
      </c>
      <c r="F410" s="214" t="s">
        <v>44</v>
      </c>
      <c r="G410" s="230"/>
      <c r="H410" s="228"/>
      <c r="I410" s="60"/>
      <c r="J410" s="61"/>
      <c r="M410" s="150"/>
      <c r="N410" s="232"/>
      <c r="O410" s="249"/>
      <c r="P410" s="330">
        <v>0.25</v>
      </c>
      <c r="Q410" s="249"/>
      <c r="R410" s="272"/>
      <c r="S410" s="229"/>
      <c r="T410" s="229"/>
      <c r="U410" s="229"/>
      <c r="V410" s="7"/>
      <c r="W410" s="6"/>
    </row>
    <row r="411" spans="1:69" s="17" customFormat="1" ht="12.75" hidden="1" customHeight="1" outlineLevel="1" x14ac:dyDescent="0.25">
      <c r="A411" s="157"/>
      <c r="B411" s="217"/>
      <c r="C411" s="46"/>
      <c r="D411" s="72"/>
      <c r="E411" s="73">
        <v>3</v>
      </c>
      <c r="F411" s="215" t="s">
        <v>105</v>
      </c>
      <c r="G411" s="230"/>
      <c r="H411" s="228"/>
      <c r="I411" s="63"/>
      <c r="J411" s="64"/>
      <c r="M411" s="150"/>
      <c r="N411" s="232"/>
      <c r="O411" s="249"/>
      <c r="P411" s="330">
        <v>0.25</v>
      </c>
      <c r="Q411" s="249"/>
      <c r="R411" s="272"/>
      <c r="S411" s="229"/>
      <c r="T411" s="229"/>
      <c r="U411" s="229"/>
      <c r="V411" s="7"/>
      <c r="W411" s="6"/>
    </row>
    <row r="412" spans="1:69" s="17" customFormat="1" ht="12.75" hidden="1" customHeight="1" outlineLevel="1" x14ac:dyDescent="0.25">
      <c r="A412" s="157"/>
      <c r="B412" s="217"/>
      <c r="C412" s="46"/>
      <c r="D412" s="46"/>
      <c r="E412" s="74"/>
      <c r="F412" s="216" t="s">
        <v>58</v>
      </c>
      <c r="G412" s="230"/>
      <c r="H412" s="228"/>
      <c r="I412" s="67"/>
      <c r="J412" s="61"/>
      <c r="M412" s="150"/>
      <c r="N412" s="232"/>
      <c r="O412" s="249"/>
      <c r="P412" s="330">
        <v>0.25</v>
      </c>
      <c r="Q412" s="249"/>
      <c r="R412" s="272"/>
      <c r="S412" s="229"/>
      <c r="T412" s="229"/>
      <c r="U412" s="229"/>
      <c r="V412" s="7"/>
      <c r="W412" s="6"/>
    </row>
    <row r="413" spans="1:69" s="17" customFormat="1" ht="12.75" hidden="1" customHeight="1" outlineLevel="1" x14ac:dyDescent="0.25">
      <c r="A413" s="157"/>
      <c r="B413" s="217"/>
      <c r="C413" s="46"/>
      <c r="D413" s="46"/>
      <c r="E413" s="46"/>
      <c r="F413" s="216" t="s">
        <v>61</v>
      </c>
      <c r="G413" s="230"/>
      <c r="H413" s="228"/>
      <c r="I413" s="68"/>
      <c r="J413" s="61"/>
      <c r="M413" s="150"/>
      <c r="N413" s="232"/>
      <c r="O413" s="249"/>
      <c r="P413" s="330">
        <v>0.25</v>
      </c>
      <c r="Q413" s="249"/>
      <c r="R413" s="272"/>
      <c r="S413" s="229"/>
      <c r="T413" s="229"/>
      <c r="U413" s="229"/>
      <c r="V413" s="7"/>
      <c r="W413" s="6"/>
    </row>
    <row r="414" spans="1:69" s="17" customFormat="1" ht="12.75" hidden="1" customHeight="1" outlineLevel="1" x14ac:dyDescent="0.25">
      <c r="A414" s="157"/>
      <c r="B414" s="217"/>
      <c r="C414" s="46"/>
      <c r="D414" s="46"/>
      <c r="E414" s="46"/>
      <c r="F414" s="216" t="s">
        <v>46</v>
      </c>
      <c r="G414" s="230"/>
      <c r="H414" s="228"/>
      <c r="I414" s="69"/>
      <c r="J414" s="61"/>
      <c r="M414" s="150"/>
      <c r="N414" s="232"/>
      <c r="O414" s="249"/>
      <c r="P414" s="330">
        <v>0.25</v>
      </c>
      <c r="Q414" s="249"/>
      <c r="R414" s="272"/>
      <c r="S414" s="229"/>
      <c r="T414" s="229"/>
      <c r="U414" s="229"/>
      <c r="V414" s="7"/>
      <c r="W414" s="6"/>
    </row>
    <row r="415" spans="1:69" s="17" customFormat="1" ht="12.75" hidden="1" customHeight="1" outlineLevel="1" x14ac:dyDescent="0.25">
      <c r="A415" s="157"/>
      <c r="B415" s="212"/>
      <c r="C415" s="42"/>
      <c r="D415" s="41"/>
      <c r="E415" s="41"/>
      <c r="F415" s="194"/>
      <c r="G415" s="230"/>
      <c r="H415" s="228"/>
      <c r="M415" s="150"/>
      <c r="N415" s="262"/>
      <c r="O415" s="206"/>
      <c r="P415" s="330">
        <v>0.25</v>
      </c>
      <c r="Q415" s="206"/>
      <c r="R415" s="240"/>
      <c r="S415" s="150"/>
      <c r="T415" s="150"/>
      <c r="U415" s="445"/>
      <c r="V415" s="7"/>
      <c r="W415" s="6"/>
    </row>
    <row r="416" spans="1:69" s="17" customFormat="1" ht="12.75" hidden="1" customHeight="1" outlineLevel="1" x14ac:dyDescent="0.25">
      <c r="A416" s="158"/>
      <c r="B416" s="213"/>
      <c r="C416" s="46"/>
      <c r="D416" s="70" t="s">
        <v>41</v>
      </c>
      <c r="E416" s="71" t="s">
        <v>43</v>
      </c>
      <c r="F416" s="214" t="s">
        <v>44</v>
      </c>
      <c r="G416" s="230"/>
      <c r="H416" s="228"/>
      <c r="I416" s="60"/>
      <c r="J416" s="61"/>
      <c r="M416" s="150"/>
      <c r="N416" s="262"/>
      <c r="O416" s="206"/>
      <c r="P416" s="330">
        <v>0.25</v>
      </c>
      <c r="Q416" s="206"/>
      <c r="R416" s="240"/>
      <c r="S416" s="150"/>
      <c r="T416" s="150"/>
      <c r="U416" s="445"/>
      <c r="V416" s="7"/>
      <c r="W416" s="6"/>
    </row>
    <row r="417" spans="1:69" s="17" customFormat="1" ht="12.75" hidden="1" customHeight="1" outlineLevel="1" x14ac:dyDescent="0.25">
      <c r="A417" s="158"/>
      <c r="B417" s="213"/>
      <c r="C417" s="46"/>
      <c r="D417" s="72"/>
      <c r="E417" s="73">
        <v>20</v>
      </c>
      <c r="F417" s="215" t="s">
        <v>93</v>
      </c>
      <c r="G417" s="230"/>
      <c r="H417" s="228"/>
      <c r="I417" s="63"/>
      <c r="J417" s="64"/>
      <c r="M417" s="150"/>
      <c r="N417" s="262"/>
      <c r="O417" s="206"/>
      <c r="P417" s="330">
        <v>0.25</v>
      </c>
      <c r="Q417" s="206"/>
      <c r="R417" s="240"/>
      <c r="S417" s="150"/>
      <c r="T417" s="150"/>
      <c r="U417" s="445"/>
      <c r="V417" s="7"/>
      <c r="W417" s="6"/>
    </row>
    <row r="418" spans="1:69" s="17" customFormat="1" ht="12.75" hidden="1" customHeight="1" outlineLevel="1" x14ac:dyDescent="0.25">
      <c r="A418" s="158"/>
      <c r="B418" s="213"/>
      <c r="C418" s="46"/>
      <c r="D418" s="46"/>
      <c r="E418" s="74"/>
      <c r="F418" s="216" t="s">
        <v>58</v>
      </c>
      <c r="G418" s="230"/>
      <c r="H418" s="228"/>
      <c r="I418" s="67"/>
      <c r="J418" s="61"/>
      <c r="M418" s="150"/>
      <c r="N418" s="262"/>
      <c r="O418" s="206"/>
      <c r="P418" s="330">
        <v>0.25</v>
      </c>
      <c r="Q418" s="206"/>
      <c r="R418" s="240"/>
      <c r="S418" s="150"/>
      <c r="T418" s="150"/>
      <c r="U418" s="445"/>
      <c r="V418" s="7"/>
      <c r="W418" s="6"/>
    </row>
    <row r="419" spans="1:69" s="17" customFormat="1" ht="12.75" hidden="1" customHeight="1" outlineLevel="1" x14ac:dyDescent="0.25">
      <c r="A419" s="158"/>
      <c r="B419" s="213"/>
      <c r="C419" s="46"/>
      <c r="D419" s="46"/>
      <c r="E419" s="46"/>
      <c r="F419" s="216" t="s">
        <v>61</v>
      </c>
      <c r="G419" s="230"/>
      <c r="H419" s="228"/>
      <c r="I419" s="68"/>
      <c r="J419" s="61"/>
      <c r="M419" s="150"/>
      <c r="N419" s="262"/>
      <c r="O419" s="206"/>
      <c r="P419" s="330">
        <v>0.25</v>
      </c>
      <c r="Q419" s="206"/>
      <c r="R419" s="240"/>
      <c r="S419" s="150"/>
      <c r="T419" s="150"/>
      <c r="U419" s="445"/>
      <c r="V419" s="7"/>
      <c r="W419" s="6"/>
    </row>
    <row r="420" spans="1:69" s="17" customFormat="1" ht="12.75" hidden="1" customHeight="1" outlineLevel="1" x14ac:dyDescent="0.25">
      <c r="A420" s="158"/>
      <c r="B420" s="213"/>
      <c r="C420" s="46"/>
      <c r="D420" s="46"/>
      <c r="E420" s="46"/>
      <c r="F420" s="216" t="s">
        <v>46</v>
      </c>
      <c r="G420" s="230"/>
      <c r="H420" s="228"/>
      <c r="I420" s="69"/>
      <c r="J420" s="61"/>
      <c r="M420" s="150"/>
      <c r="N420" s="262"/>
      <c r="O420" s="206"/>
      <c r="P420" s="330">
        <v>0.25</v>
      </c>
      <c r="Q420" s="206"/>
      <c r="R420" s="240"/>
      <c r="S420" s="150"/>
      <c r="T420" s="150"/>
      <c r="U420" s="445"/>
      <c r="V420" s="7"/>
      <c r="W420" s="6"/>
    </row>
    <row r="421" spans="1:69" s="400" customFormat="1" ht="12.75" hidden="1" customHeight="1" collapsed="1" x14ac:dyDescent="0.25">
      <c r="A421" s="401">
        <v>14.8</v>
      </c>
      <c r="B421" s="412" t="s">
        <v>118</v>
      </c>
      <c r="C421" s="413"/>
      <c r="D421" s="413"/>
      <c r="E421" s="413"/>
      <c r="F421" s="414"/>
      <c r="G421" s="415"/>
      <c r="H421" s="416"/>
      <c r="I421" s="417"/>
      <c r="J421" s="417"/>
      <c r="M421" s="396"/>
      <c r="N421" s="397"/>
      <c r="O421" s="398"/>
      <c r="P421" s="303"/>
      <c r="Q421" s="398"/>
      <c r="R421" s="399"/>
      <c r="S421" s="396"/>
      <c r="T421" s="396"/>
      <c r="U421" s="444"/>
      <c r="V421" s="56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</row>
    <row r="422" spans="1:69" s="400" customFormat="1" ht="12.75" hidden="1" customHeight="1" x14ac:dyDescent="0.25">
      <c r="A422" s="419"/>
      <c r="B422" s="402" t="s">
        <v>133</v>
      </c>
      <c r="C422" s="387" t="s">
        <v>119</v>
      </c>
      <c r="D422" s="387"/>
      <c r="E422" s="387"/>
      <c r="F422" s="388"/>
      <c r="G422" s="403"/>
      <c r="H422" s="403" t="s">
        <v>50</v>
      </c>
      <c r="I422" s="411"/>
      <c r="J422" s="411"/>
      <c r="M422" s="404"/>
      <c r="N422" s="328">
        <f t="shared" ref="N422" si="196">ROUND(M422*0.12,2)</f>
        <v>0</v>
      </c>
      <c r="O422" s="329">
        <f t="shared" ref="O422" si="197">ROUND(M422*0.08,2)</f>
        <v>0</v>
      </c>
      <c r="P422" s="330">
        <v>0.25</v>
      </c>
      <c r="Q422" s="329">
        <f t="shared" ref="Q422" si="198">P422*M422</f>
        <v>0</v>
      </c>
      <c r="R422" s="331">
        <f t="shared" ref="R422" si="199">ROUND((M422+Q422)*0.05,2)</f>
        <v>0</v>
      </c>
      <c r="S422" s="332">
        <f t="shared" ref="S422" si="200">R422+Q422</f>
        <v>0</v>
      </c>
      <c r="T422" s="332">
        <f t="shared" ref="T422" si="201">M422+S422</f>
        <v>0</v>
      </c>
      <c r="U422" s="332" t="e">
        <f t="shared" ref="U422" si="202">T422/G422</f>
        <v>#DIV/0!</v>
      </c>
      <c r="V422" s="56"/>
      <c r="W422" s="15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</row>
    <row r="423" spans="1:69" s="17" customFormat="1" ht="12.75" hidden="1" customHeight="1" outlineLevel="1" x14ac:dyDescent="0.25">
      <c r="A423" s="152"/>
      <c r="B423" s="192"/>
      <c r="C423" s="32"/>
      <c r="F423" s="130"/>
      <c r="G423" s="230"/>
      <c r="H423" s="228"/>
      <c r="M423" s="150"/>
      <c r="N423" s="232"/>
      <c r="O423" s="249"/>
      <c r="P423" s="330">
        <v>0.25</v>
      </c>
      <c r="Q423" s="249"/>
      <c r="R423" s="272"/>
      <c r="S423" s="229"/>
      <c r="T423" s="229"/>
      <c r="U423" s="229"/>
      <c r="V423" s="7"/>
      <c r="W423" s="6"/>
    </row>
    <row r="424" spans="1:69" s="17" customFormat="1" ht="12.75" hidden="1" customHeight="1" outlineLevel="1" x14ac:dyDescent="0.25">
      <c r="A424" s="152"/>
      <c r="B424" s="181"/>
      <c r="C424" s="54"/>
      <c r="D424" s="76" t="s">
        <v>41</v>
      </c>
      <c r="E424" s="60" t="s">
        <v>43</v>
      </c>
      <c r="F424" s="183" t="s">
        <v>44</v>
      </c>
      <c r="G424" s="230"/>
      <c r="H424" s="228"/>
      <c r="I424" s="60"/>
      <c r="J424" s="61"/>
      <c r="M424" s="150"/>
      <c r="N424" s="232"/>
      <c r="O424" s="249"/>
      <c r="P424" s="330">
        <v>0.25</v>
      </c>
      <c r="Q424" s="249"/>
      <c r="R424" s="272"/>
      <c r="S424" s="229"/>
      <c r="T424" s="229"/>
      <c r="U424" s="229"/>
      <c r="V424" s="7"/>
      <c r="W424" s="6"/>
    </row>
    <row r="425" spans="1:69" s="17" customFormat="1" ht="12.75" hidden="1" customHeight="1" outlineLevel="1" x14ac:dyDescent="0.25">
      <c r="A425" s="152"/>
      <c r="B425" s="181"/>
      <c r="C425" s="54"/>
      <c r="D425" s="77"/>
      <c r="E425" s="78">
        <v>4</v>
      </c>
      <c r="F425" s="218" t="s">
        <v>50</v>
      </c>
      <c r="G425" s="230"/>
      <c r="H425" s="228"/>
      <c r="I425" s="63"/>
      <c r="J425" s="64"/>
      <c r="M425" s="150"/>
      <c r="N425" s="232"/>
      <c r="O425" s="249"/>
      <c r="P425" s="330">
        <v>0.25</v>
      </c>
      <c r="Q425" s="249"/>
      <c r="R425" s="272"/>
      <c r="S425" s="229"/>
      <c r="T425" s="229"/>
      <c r="U425" s="229"/>
      <c r="V425" s="7"/>
      <c r="W425" s="6"/>
    </row>
    <row r="426" spans="1:69" s="17" customFormat="1" ht="12.75" hidden="1" customHeight="1" outlineLevel="1" x14ac:dyDescent="0.25">
      <c r="A426" s="152"/>
      <c r="B426" s="181"/>
      <c r="C426" s="54"/>
      <c r="D426" s="54"/>
      <c r="E426" s="64"/>
      <c r="F426" s="219" t="s">
        <v>58</v>
      </c>
      <c r="G426" s="230"/>
      <c r="H426" s="228"/>
      <c r="I426" s="67"/>
      <c r="J426" s="61"/>
      <c r="M426" s="150"/>
      <c r="N426" s="232"/>
      <c r="O426" s="249"/>
      <c r="P426" s="330">
        <v>0.25</v>
      </c>
      <c r="Q426" s="249"/>
      <c r="R426" s="272"/>
      <c r="S426" s="229"/>
      <c r="T426" s="229"/>
      <c r="U426" s="229"/>
      <c r="V426" s="7"/>
      <c r="W426" s="6"/>
    </row>
    <row r="427" spans="1:69" s="17" customFormat="1" ht="12.75" hidden="1" customHeight="1" outlineLevel="1" x14ac:dyDescent="0.25">
      <c r="A427" s="152"/>
      <c r="B427" s="181"/>
      <c r="C427" s="54"/>
      <c r="D427" s="54"/>
      <c r="E427" s="54"/>
      <c r="F427" s="219" t="s">
        <v>61</v>
      </c>
      <c r="G427" s="230"/>
      <c r="H427" s="228"/>
      <c r="I427" s="68"/>
      <c r="J427" s="61"/>
      <c r="M427" s="150"/>
      <c r="N427" s="232"/>
      <c r="O427" s="249"/>
      <c r="P427" s="330">
        <v>0.25</v>
      </c>
      <c r="Q427" s="249"/>
      <c r="R427" s="272"/>
      <c r="S427" s="229"/>
      <c r="T427" s="229"/>
      <c r="U427" s="229"/>
      <c r="V427" s="7"/>
      <c r="W427" s="6"/>
    </row>
    <row r="428" spans="1:69" s="17" customFormat="1" ht="12.75" hidden="1" customHeight="1" outlineLevel="1" x14ac:dyDescent="0.25">
      <c r="A428" s="152"/>
      <c r="B428" s="181"/>
      <c r="C428" s="54"/>
      <c r="D428" s="54"/>
      <c r="E428" s="54"/>
      <c r="F428" s="219" t="s">
        <v>46</v>
      </c>
      <c r="G428" s="230"/>
      <c r="H428" s="228"/>
      <c r="I428" s="69"/>
      <c r="J428" s="61"/>
      <c r="M428" s="150"/>
      <c r="N428" s="232"/>
      <c r="O428" s="249"/>
      <c r="P428" s="330">
        <v>0.25</v>
      </c>
      <c r="Q428" s="249"/>
      <c r="R428" s="272"/>
      <c r="S428" s="229"/>
      <c r="T428" s="229"/>
      <c r="U428" s="229"/>
      <c r="V428" s="7"/>
      <c r="W428" s="6"/>
    </row>
    <row r="429" spans="1:69" s="400" customFormat="1" ht="12.75" customHeight="1" collapsed="1" x14ac:dyDescent="0.25">
      <c r="A429" s="419"/>
      <c r="B429" s="402" t="s">
        <v>134</v>
      </c>
      <c r="C429" s="387" t="s">
        <v>120</v>
      </c>
      <c r="D429" s="387"/>
      <c r="E429" s="387"/>
      <c r="F429" s="388"/>
      <c r="G429" s="403"/>
      <c r="H429" s="403" t="s">
        <v>50</v>
      </c>
      <c r="I429" s="411"/>
      <c r="J429" s="411"/>
      <c r="M429" s="404"/>
      <c r="N429" s="328">
        <f t="shared" ref="N429" si="203">ROUND(M429*0.12,2)</f>
        <v>0</v>
      </c>
      <c r="O429" s="329">
        <f t="shared" ref="O429" si="204">ROUND(M429*0.08,2)</f>
        <v>0</v>
      </c>
      <c r="P429" s="330">
        <v>0.25</v>
      </c>
      <c r="Q429" s="329">
        <f t="shared" ref="Q429" si="205">P429*M429</f>
        <v>0</v>
      </c>
      <c r="R429" s="331">
        <f t="shared" ref="R429" si="206">ROUND((M429+Q429)*0.05,2)</f>
        <v>0</v>
      </c>
      <c r="S429" s="332">
        <f t="shared" ref="S429" si="207">R429+Q429</f>
        <v>0</v>
      </c>
      <c r="T429" s="332">
        <f t="shared" ref="T429" si="208">M429+S429</f>
        <v>0</v>
      </c>
      <c r="U429" s="332" t="e">
        <f t="shared" ref="U429" si="209">T429/G429</f>
        <v>#DIV/0!</v>
      </c>
      <c r="V429" s="56"/>
      <c r="W429" s="15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</row>
    <row r="430" spans="1:69" s="17" customFormat="1" ht="12.75" hidden="1" customHeight="1" outlineLevel="1" x14ac:dyDescent="0.25">
      <c r="A430" s="152"/>
      <c r="B430" s="192"/>
      <c r="C430" s="32"/>
      <c r="F430" s="130"/>
      <c r="G430" s="230"/>
      <c r="H430" s="228"/>
      <c r="M430" s="150"/>
      <c r="N430" s="232"/>
      <c r="O430" s="249"/>
      <c r="P430" s="330">
        <v>0.25</v>
      </c>
      <c r="Q430" s="249"/>
      <c r="R430" s="272"/>
      <c r="S430" s="229"/>
      <c r="T430" s="229"/>
      <c r="U430" s="229"/>
      <c r="V430" s="7"/>
      <c r="W430" s="6"/>
    </row>
    <row r="431" spans="1:69" s="17" customFormat="1" ht="12.75" hidden="1" customHeight="1" outlineLevel="1" x14ac:dyDescent="0.25">
      <c r="A431" s="152"/>
      <c r="B431" s="181"/>
      <c r="C431" s="54"/>
      <c r="D431" s="76" t="s">
        <v>41</v>
      </c>
      <c r="E431" s="60" t="s">
        <v>43</v>
      </c>
      <c r="F431" s="183" t="s">
        <v>44</v>
      </c>
      <c r="G431" s="230"/>
      <c r="H431" s="228"/>
      <c r="I431" s="60"/>
      <c r="J431" s="61"/>
      <c r="M431" s="150"/>
      <c r="N431" s="232"/>
      <c r="O431" s="249"/>
      <c r="P431" s="330">
        <v>0.25</v>
      </c>
      <c r="Q431" s="249"/>
      <c r="R431" s="272"/>
      <c r="S431" s="229"/>
      <c r="T431" s="229"/>
      <c r="U431" s="229"/>
      <c r="V431" s="7"/>
      <c r="W431" s="6"/>
    </row>
    <row r="432" spans="1:69" s="17" customFormat="1" ht="12.75" hidden="1" customHeight="1" outlineLevel="1" x14ac:dyDescent="0.25">
      <c r="A432" s="152"/>
      <c r="B432" s="181"/>
      <c r="C432" s="54"/>
      <c r="D432" s="77"/>
      <c r="E432" s="78">
        <v>70</v>
      </c>
      <c r="F432" s="218" t="s">
        <v>50</v>
      </c>
      <c r="G432" s="230"/>
      <c r="H432" s="228"/>
      <c r="I432" s="63"/>
      <c r="J432" s="64"/>
      <c r="M432" s="150"/>
      <c r="N432" s="232"/>
      <c r="O432" s="249"/>
      <c r="P432" s="330">
        <v>0.25</v>
      </c>
      <c r="Q432" s="249"/>
      <c r="R432" s="272"/>
      <c r="S432" s="229"/>
      <c r="T432" s="229"/>
      <c r="U432" s="229"/>
      <c r="V432" s="7"/>
      <c r="W432" s="6"/>
    </row>
    <row r="433" spans="1:69" s="17" customFormat="1" ht="12.75" hidden="1" customHeight="1" outlineLevel="1" x14ac:dyDescent="0.25">
      <c r="A433" s="152"/>
      <c r="B433" s="181"/>
      <c r="C433" s="54"/>
      <c r="D433" s="54"/>
      <c r="E433" s="64"/>
      <c r="F433" s="219" t="s">
        <v>58</v>
      </c>
      <c r="G433" s="230"/>
      <c r="H433" s="228"/>
      <c r="I433" s="67"/>
      <c r="J433" s="61"/>
      <c r="M433" s="150"/>
      <c r="N433" s="232"/>
      <c r="O433" s="249"/>
      <c r="P433" s="330">
        <v>0.25</v>
      </c>
      <c r="Q433" s="249"/>
      <c r="R433" s="272"/>
      <c r="S433" s="229"/>
      <c r="T433" s="229"/>
      <c r="U433" s="229"/>
      <c r="V433" s="7"/>
      <c r="W433" s="6"/>
    </row>
    <row r="434" spans="1:69" s="17" customFormat="1" ht="12.75" hidden="1" customHeight="1" outlineLevel="1" x14ac:dyDescent="0.25">
      <c r="A434" s="152"/>
      <c r="B434" s="181"/>
      <c r="C434" s="54"/>
      <c r="D434" s="54"/>
      <c r="E434" s="54"/>
      <c r="F434" s="219" t="s">
        <v>61</v>
      </c>
      <c r="G434" s="230"/>
      <c r="H434" s="228"/>
      <c r="I434" s="68"/>
      <c r="J434" s="61"/>
      <c r="M434" s="150"/>
      <c r="N434" s="232"/>
      <c r="O434" s="249"/>
      <c r="P434" s="330">
        <v>0.25</v>
      </c>
      <c r="Q434" s="249"/>
      <c r="R434" s="272"/>
      <c r="S434" s="229"/>
      <c r="T434" s="229"/>
      <c r="U434" s="229"/>
      <c r="V434" s="7"/>
      <c r="W434" s="6"/>
    </row>
    <row r="435" spans="1:69" s="17" customFormat="1" ht="12.75" hidden="1" customHeight="1" outlineLevel="1" x14ac:dyDescent="0.25">
      <c r="A435" s="152"/>
      <c r="B435" s="181"/>
      <c r="C435" s="54"/>
      <c r="D435" s="54"/>
      <c r="E435" s="54"/>
      <c r="F435" s="219" t="s">
        <v>46</v>
      </c>
      <c r="G435" s="230"/>
      <c r="H435" s="228"/>
      <c r="I435" s="69"/>
      <c r="J435" s="61"/>
      <c r="M435" s="150"/>
      <c r="N435" s="232"/>
      <c r="O435" s="249"/>
      <c r="P435" s="330">
        <v>0.25</v>
      </c>
      <c r="Q435" s="249"/>
      <c r="R435" s="272"/>
      <c r="S435" s="229"/>
      <c r="T435" s="229"/>
      <c r="U435" s="229"/>
      <c r="V435" s="7"/>
      <c r="W435" s="6"/>
    </row>
    <row r="436" spans="1:69" s="400" customFormat="1" ht="12.75" hidden="1" customHeight="1" collapsed="1" x14ac:dyDescent="0.25">
      <c r="A436" s="419"/>
      <c r="B436" s="402" t="s">
        <v>135</v>
      </c>
      <c r="C436" s="387" t="s">
        <v>121</v>
      </c>
      <c r="D436" s="387"/>
      <c r="E436" s="387"/>
      <c r="F436" s="388"/>
      <c r="G436" s="403"/>
      <c r="H436" s="403" t="s">
        <v>50</v>
      </c>
      <c r="I436" s="411"/>
      <c r="J436" s="411"/>
      <c r="M436" s="404"/>
      <c r="N436" s="328">
        <f t="shared" ref="N436" si="210">ROUND(M436*0.12,2)</f>
        <v>0</v>
      </c>
      <c r="O436" s="329">
        <f t="shared" ref="O436" si="211">ROUND(M436*0.08,2)</f>
        <v>0</v>
      </c>
      <c r="P436" s="330">
        <v>0.25</v>
      </c>
      <c r="Q436" s="329">
        <f t="shared" ref="Q436" si="212">P436*M436</f>
        <v>0</v>
      </c>
      <c r="R436" s="331">
        <f t="shared" ref="R436" si="213">ROUND((M436+Q436)*0.05,2)</f>
        <v>0</v>
      </c>
      <c r="S436" s="332">
        <f t="shared" ref="S436" si="214">R436+Q436</f>
        <v>0</v>
      </c>
      <c r="T436" s="332">
        <f t="shared" ref="T436" si="215">M436+S436</f>
        <v>0</v>
      </c>
      <c r="U436" s="332" t="e">
        <f t="shared" ref="U436" si="216">T436/G436</f>
        <v>#DIV/0!</v>
      </c>
      <c r="V436" s="56"/>
      <c r="W436" s="15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</row>
    <row r="437" spans="1:69" s="17" customFormat="1" ht="12.75" hidden="1" customHeight="1" outlineLevel="1" x14ac:dyDescent="0.25">
      <c r="A437" s="152"/>
      <c r="B437" s="192"/>
      <c r="C437" s="32"/>
      <c r="F437" s="130"/>
      <c r="G437" s="230"/>
      <c r="H437" s="228"/>
      <c r="M437" s="150"/>
      <c r="N437" s="262"/>
      <c r="O437" s="206"/>
      <c r="P437" s="266"/>
      <c r="Q437" s="206"/>
      <c r="R437" s="240"/>
      <c r="S437" s="150"/>
      <c r="T437" s="150"/>
      <c r="U437" s="445"/>
      <c r="V437" s="7"/>
      <c r="W437" s="6"/>
    </row>
    <row r="438" spans="1:69" s="17" customFormat="1" ht="12.75" hidden="1" customHeight="1" outlineLevel="1" x14ac:dyDescent="0.25">
      <c r="A438" s="144"/>
      <c r="B438" s="134"/>
      <c r="C438" s="54"/>
      <c r="D438" s="76" t="s">
        <v>41</v>
      </c>
      <c r="E438" s="60" t="s">
        <v>43</v>
      </c>
      <c r="F438" s="183" t="s">
        <v>44</v>
      </c>
      <c r="G438" s="230"/>
      <c r="H438" s="228"/>
      <c r="I438" s="60"/>
      <c r="J438" s="61"/>
      <c r="M438" s="150"/>
      <c r="N438" s="262"/>
      <c r="O438" s="206"/>
      <c r="P438" s="266"/>
      <c r="Q438" s="206"/>
      <c r="R438" s="240"/>
      <c r="S438" s="150"/>
      <c r="T438" s="150"/>
      <c r="U438" s="445"/>
      <c r="V438" s="7"/>
      <c r="W438" s="6"/>
    </row>
    <row r="439" spans="1:69" s="17" customFormat="1" ht="12.75" hidden="1" customHeight="1" outlineLevel="1" x14ac:dyDescent="0.25">
      <c r="A439" s="144"/>
      <c r="B439" s="134"/>
      <c r="C439" s="54"/>
      <c r="D439" s="77"/>
      <c r="E439" s="78">
        <v>60</v>
      </c>
      <c r="F439" s="218" t="s">
        <v>50</v>
      </c>
      <c r="G439" s="230"/>
      <c r="H439" s="228"/>
      <c r="I439" s="63"/>
      <c r="J439" s="64"/>
      <c r="M439" s="150"/>
      <c r="N439" s="262"/>
      <c r="O439" s="206"/>
      <c r="P439" s="266"/>
      <c r="Q439" s="206"/>
      <c r="R439" s="240"/>
      <c r="S439" s="150"/>
      <c r="T439" s="150"/>
      <c r="U439" s="445"/>
      <c r="V439" s="7"/>
      <c r="W439" s="6"/>
    </row>
    <row r="440" spans="1:69" s="17" customFormat="1" ht="12.75" hidden="1" customHeight="1" outlineLevel="1" x14ac:dyDescent="0.25">
      <c r="A440" s="144"/>
      <c r="B440" s="134"/>
      <c r="C440" s="54"/>
      <c r="D440" s="54"/>
      <c r="E440" s="64"/>
      <c r="F440" s="219" t="s">
        <v>58</v>
      </c>
      <c r="G440" s="230"/>
      <c r="H440" s="228"/>
      <c r="I440" s="67"/>
      <c r="J440" s="61"/>
      <c r="M440" s="150"/>
      <c r="N440" s="262"/>
      <c r="O440" s="206"/>
      <c r="P440" s="266"/>
      <c r="Q440" s="206"/>
      <c r="R440" s="240"/>
      <c r="S440" s="150"/>
      <c r="T440" s="150"/>
      <c r="U440" s="445"/>
      <c r="V440" s="7"/>
      <c r="W440" s="6"/>
    </row>
    <row r="441" spans="1:69" s="17" customFormat="1" ht="12.75" hidden="1" customHeight="1" outlineLevel="1" x14ac:dyDescent="0.25">
      <c r="A441" s="144"/>
      <c r="B441" s="134"/>
      <c r="C441" s="54"/>
      <c r="D441" s="54"/>
      <c r="E441" s="54"/>
      <c r="F441" s="219" t="s">
        <v>61</v>
      </c>
      <c r="G441" s="230"/>
      <c r="H441" s="228"/>
      <c r="I441" s="68"/>
      <c r="J441" s="61"/>
      <c r="M441" s="150"/>
      <c r="N441" s="262"/>
      <c r="O441" s="206"/>
      <c r="P441" s="266"/>
      <c r="Q441" s="206"/>
      <c r="R441" s="240"/>
      <c r="S441" s="150"/>
      <c r="T441" s="150"/>
      <c r="U441" s="445"/>
      <c r="V441" s="7"/>
      <c r="W441" s="6"/>
    </row>
    <row r="442" spans="1:69" s="17" customFormat="1" ht="12.75" hidden="1" customHeight="1" outlineLevel="1" x14ac:dyDescent="0.25">
      <c r="A442" s="144"/>
      <c r="B442" s="134"/>
      <c r="C442" s="54"/>
      <c r="D442" s="54"/>
      <c r="E442" s="54"/>
      <c r="F442" s="219" t="s">
        <v>46</v>
      </c>
      <c r="G442" s="230"/>
      <c r="H442" s="228"/>
      <c r="I442" s="69"/>
      <c r="J442" s="61"/>
      <c r="M442" s="150"/>
      <c r="N442" s="262"/>
      <c r="O442" s="206"/>
      <c r="P442" s="266"/>
      <c r="Q442" s="206"/>
      <c r="R442" s="240"/>
      <c r="S442" s="150"/>
      <c r="T442" s="150"/>
      <c r="U442" s="445"/>
      <c r="V442" s="7"/>
      <c r="W442" s="6"/>
    </row>
    <row r="443" spans="1:69" s="17" customFormat="1" ht="12.75" hidden="1" customHeight="1" outlineLevel="1" x14ac:dyDescent="0.25">
      <c r="A443" s="159"/>
      <c r="B443" s="192"/>
      <c r="C443" s="32"/>
      <c r="F443" s="130"/>
      <c r="G443" s="230"/>
      <c r="H443" s="228"/>
      <c r="M443" s="150"/>
      <c r="N443" s="262"/>
      <c r="O443" s="206"/>
      <c r="P443" s="266"/>
      <c r="Q443" s="206"/>
      <c r="R443" s="240"/>
      <c r="S443" s="150"/>
      <c r="T443" s="150"/>
      <c r="U443" s="445"/>
      <c r="V443" s="7"/>
      <c r="W443" s="6"/>
    </row>
    <row r="444" spans="1:69" s="17" customFormat="1" ht="12.75" hidden="1" customHeight="1" outlineLevel="1" x14ac:dyDescent="0.25">
      <c r="A444" s="159"/>
      <c r="B444" s="134"/>
      <c r="C444" s="54"/>
      <c r="D444" s="76" t="s">
        <v>41</v>
      </c>
      <c r="E444" s="60" t="s">
        <v>43</v>
      </c>
      <c r="F444" s="183" t="s">
        <v>44</v>
      </c>
      <c r="G444" s="230"/>
      <c r="H444" s="228"/>
      <c r="I444" s="60"/>
      <c r="J444" s="61"/>
      <c r="M444" s="150"/>
      <c r="N444" s="262"/>
      <c r="O444" s="206"/>
      <c r="P444" s="266"/>
      <c r="Q444" s="206"/>
      <c r="R444" s="240"/>
      <c r="S444" s="150"/>
      <c r="T444" s="150"/>
      <c r="U444" s="445"/>
      <c r="V444" s="7"/>
      <c r="W444" s="6"/>
    </row>
    <row r="445" spans="1:69" s="17" customFormat="1" ht="12.75" hidden="1" customHeight="1" outlineLevel="1" x14ac:dyDescent="0.25">
      <c r="A445" s="159"/>
      <c r="B445" s="134"/>
      <c r="C445" s="54"/>
      <c r="D445" s="77"/>
      <c r="E445" s="78">
        <v>4</v>
      </c>
      <c r="F445" s="218" t="s">
        <v>50</v>
      </c>
      <c r="G445" s="230"/>
      <c r="H445" s="228"/>
      <c r="I445" s="63"/>
      <c r="J445" s="64"/>
      <c r="M445" s="150"/>
      <c r="N445" s="262"/>
      <c r="O445" s="206"/>
      <c r="P445" s="266"/>
      <c r="Q445" s="206"/>
      <c r="R445" s="240"/>
      <c r="S445" s="150"/>
      <c r="T445" s="150"/>
      <c r="U445" s="445"/>
      <c r="V445" s="7"/>
      <c r="W445" s="6"/>
    </row>
    <row r="446" spans="1:69" s="17" customFormat="1" ht="12.75" hidden="1" customHeight="1" outlineLevel="1" x14ac:dyDescent="0.25">
      <c r="A446" s="159"/>
      <c r="B446" s="134"/>
      <c r="C446" s="54"/>
      <c r="D446" s="54"/>
      <c r="E446" s="64"/>
      <c r="F446" s="219" t="s">
        <v>58</v>
      </c>
      <c r="G446" s="230"/>
      <c r="H446" s="228"/>
      <c r="I446" s="67"/>
      <c r="J446" s="61"/>
      <c r="M446" s="150"/>
      <c r="N446" s="262"/>
      <c r="O446" s="206"/>
      <c r="P446" s="266"/>
      <c r="Q446" s="206"/>
      <c r="R446" s="240"/>
      <c r="S446" s="150"/>
      <c r="T446" s="150"/>
      <c r="U446" s="445"/>
      <c r="V446" s="7"/>
      <c r="W446" s="6"/>
    </row>
    <row r="447" spans="1:69" s="17" customFormat="1" ht="12.75" hidden="1" customHeight="1" outlineLevel="1" x14ac:dyDescent="0.25">
      <c r="A447" s="159"/>
      <c r="B447" s="134"/>
      <c r="C447" s="54"/>
      <c r="D447" s="54"/>
      <c r="E447" s="54"/>
      <c r="F447" s="219" t="s">
        <v>61</v>
      </c>
      <c r="G447" s="230"/>
      <c r="H447" s="228"/>
      <c r="I447" s="68"/>
      <c r="J447" s="61"/>
      <c r="M447" s="150"/>
      <c r="N447" s="262"/>
      <c r="O447" s="206"/>
      <c r="P447" s="266"/>
      <c r="Q447" s="206"/>
      <c r="R447" s="240"/>
      <c r="S447" s="150"/>
      <c r="T447" s="150"/>
      <c r="U447" s="445"/>
      <c r="V447" s="7"/>
      <c r="W447" s="6"/>
    </row>
    <row r="448" spans="1:69" s="17" customFormat="1" ht="12.75" hidden="1" customHeight="1" outlineLevel="1" x14ac:dyDescent="0.25">
      <c r="A448" s="159"/>
      <c r="B448" s="134"/>
      <c r="C448" s="54"/>
      <c r="D448" s="54"/>
      <c r="E448" s="54"/>
      <c r="F448" s="219" t="s">
        <v>46</v>
      </c>
      <c r="G448" s="230"/>
      <c r="H448" s="228"/>
      <c r="I448" s="69"/>
      <c r="J448" s="61"/>
      <c r="M448" s="150"/>
      <c r="N448" s="262"/>
      <c r="O448" s="206"/>
      <c r="P448" s="266"/>
      <c r="Q448" s="206"/>
      <c r="R448" s="240"/>
      <c r="S448" s="150"/>
      <c r="T448" s="150"/>
      <c r="U448" s="445"/>
      <c r="V448" s="7"/>
      <c r="W448" s="6"/>
    </row>
    <row r="449" spans="1:26" s="17" customFormat="1" ht="12.75" hidden="1" customHeight="1" outlineLevel="1" x14ac:dyDescent="0.25">
      <c r="A449" s="142"/>
      <c r="B449" s="192"/>
      <c r="C449" s="32"/>
      <c r="F449" s="130"/>
      <c r="G449" s="230"/>
      <c r="H449" s="228"/>
      <c r="M449" s="150"/>
      <c r="N449" s="262"/>
      <c r="O449" s="206"/>
      <c r="P449" s="266"/>
      <c r="Q449" s="206"/>
      <c r="R449" s="240"/>
      <c r="S449" s="150"/>
      <c r="T449" s="150"/>
      <c r="U449" s="445"/>
      <c r="V449" s="7"/>
      <c r="W449" s="6"/>
    </row>
    <row r="450" spans="1:26" s="17" customFormat="1" ht="12.75" hidden="1" customHeight="1" outlineLevel="1" x14ac:dyDescent="0.25">
      <c r="A450" s="145"/>
      <c r="B450" s="134"/>
      <c r="C450" s="54"/>
      <c r="D450" s="76" t="s">
        <v>41</v>
      </c>
      <c r="E450" s="60" t="s">
        <v>43</v>
      </c>
      <c r="F450" s="183" t="s">
        <v>44</v>
      </c>
      <c r="G450" s="230"/>
      <c r="H450" s="228"/>
      <c r="I450" s="60"/>
      <c r="J450" s="61"/>
      <c r="M450" s="150"/>
      <c r="N450" s="262"/>
      <c r="O450" s="206"/>
      <c r="P450" s="266"/>
      <c r="Q450" s="206"/>
      <c r="R450" s="240"/>
      <c r="S450" s="150"/>
      <c r="T450" s="150"/>
      <c r="U450" s="445"/>
      <c r="V450" s="7"/>
      <c r="W450" s="6"/>
    </row>
    <row r="451" spans="1:26" s="17" customFormat="1" ht="12.75" hidden="1" customHeight="1" outlineLevel="1" x14ac:dyDescent="0.25">
      <c r="A451" s="145"/>
      <c r="B451" s="134"/>
      <c r="C451" s="54"/>
      <c r="D451" s="77"/>
      <c r="E451" s="78">
        <v>1</v>
      </c>
      <c r="F451" s="218" t="s">
        <v>50</v>
      </c>
      <c r="G451" s="230"/>
      <c r="H451" s="228"/>
      <c r="I451" s="63"/>
      <c r="J451" s="64"/>
      <c r="M451" s="150"/>
      <c r="N451" s="262"/>
      <c r="O451" s="206"/>
      <c r="P451" s="266"/>
      <c r="Q451" s="206"/>
      <c r="R451" s="240"/>
      <c r="S451" s="150"/>
      <c r="T451" s="150"/>
      <c r="U451" s="445"/>
      <c r="V451" s="7"/>
      <c r="W451" s="6"/>
    </row>
    <row r="452" spans="1:26" s="17" customFormat="1" ht="12.75" hidden="1" customHeight="1" outlineLevel="1" x14ac:dyDescent="0.25">
      <c r="A452" s="145"/>
      <c r="B452" s="134"/>
      <c r="C452" s="54"/>
      <c r="D452" s="54"/>
      <c r="E452" s="64"/>
      <c r="F452" s="219" t="s">
        <v>58</v>
      </c>
      <c r="G452" s="230"/>
      <c r="H452" s="228"/>
      <c r="I452" s="67"/>
      <c r="J452" s="61"/>
      <c r="M452" s="150"/>
      <c r="N452" s="262"/>
      <c r="O452" s="206"/>
      <c r="P452" s="266"/>
      <c r="Q452" s="206"/>
      <c r="R452" s="240"/>
      <c r="S452" s="150"/>
      <c r="T452" s="150"/>
      <c r="U452" s="445"/>
      <c r="V452" s="7"/>
      <c r="W452" s="6"/>
    </row>
    <row r="453" spans="1:26" s="17" customFormat="1" ht="12.75" hidden="1" customHeight="1" outlineLevel="1" x14ac:dyDescent="0.25">
      <c r="A453" s="145"/>
      <c r="B453" s="134"/>
      <c r="C453" s="54"/>
      <c r="D453" s="54"/>
      <c r="E453" s="54"/>
      <c r="F453" s="219" t="s">
        <v>61</v>
      </c>
      <c r="G453" s="230"/>
      <c r="H453" s="228"/>
      <c r="I453" s="68"/>
      <c r="J453" s="61"/>
      <c r="M453" s="150"/>
      <c r="N453" s="262"/>
      <c r="O453" s="206"/>
      <c r="P453" s="266"/>
      <c r="Q453" s="206"/>
      <c r="R453" s="240"/>
      <c r="S453" s="150"/>
      <c r="T453" s="150"/>
      <c r="U453" s="445"/>
      <c r="V453" s="7"/>
      <c r="W453" s="6"/>
    </row>
    <row r="454" spans="1:26" s="17" customFormat="1" ht="12.75" hidden="1" customHeight="1" outlineLevel="1" x14ac:dyDescent="0.25">
      <c r="A454" s="145"/>
      <c r="B454" s="134"/>
      <c r="C454" s="54"/>
      <c r="D454" s="54"/>
      <c r="E454" s="54"/>
      <c r="F454" s="219" t="s">
        <v>46</v>
      </c>
      <c r="G454" s="230"/>
      <c r="H454" s="228"/>
      <c r="I454" s="69"/>
      <c r="J454" s="61"/>
      <c r="M454" s="150"/>
      <c r="N454" s="262"/>
      <c r="O454" s="206"/>
      <c r="P454" s="266"/>
      <c r="Q454" s="206"/>
      <c r="R454" s="240"/>
      <c r="S454" s="150"/>
      <c r="T454" s="150"/>
      <c r="U454" s="445"/>
      <c r="V454" s="7"/>
      <c r="W454" s="6"/>
    </row>
    <row r="455" spans="1:26" s="17" customFormat="1" ht="6" hidden="1" customHeight="1" collapsed="1" thickBot="1" x14ac:dyDescent="0.3">
      <c r="A455" s="142"/>
      <c r="B455" s="128"/>
      <c r="F455" s="130"/>
      <c r="G455" s="230"/>
      <c r="H455" s="228"/>
      <c r="M455" s="142"/>
      <c r="N455" s="262"/>
      <c r="O455" s="206"/>
      <c r="P455" s="266"/>
      <c r="Q455" s="206"/>
      <c r="R455" s="240"/>
      <c r="S455" s="142"/>
      <c r="T455" s="142"/>
      <c r="U455" s="445"/>
      <c r="V455" s="54"/>
    </row>
    <row r="456" spans="1:26" s="17" customFormat="1" ht="12.75" hidden="1" customHeight="1" thickBot="1" x14ac:dyDescent="0.3">
      <c r="A456" s="427"/>
      <c r="B456" s="428"/>
      <c r="C456" s="428"/>
      <c r="D456" s="428"/>
      <c r="E456" s="428"/>
      <c r="F456" s="428"/>
      <c r="G456" s="421"/>
      <c r="H456" s="422"/>
      <c r="I456" s="428"/>
      <c r="J456" s="428"/>
      <c r="K456" s="429"/>
      <c r="L456" s="429"/>
      <c r="M456" s="487">
        <f>SUM(M99:M455)</f>
        <v>694333.5</v>
      </c>
      <c r="N456" s="423"/>
      <c r="O456" s="423"/>
      <c r="P456" s="424"/>
      <c r="Q456" s="423"/>
      <c r="R456" s="430" t="s">
        <v>98</v>
      </c>
      <c r="S456" s="425"/>
      <c r="T456" s="432">
        <f>SUM(T278:T455)</f>
        <v>0</v>
      </c>
      <c r="U456" s="431"/>
      <c r="V456" s="81">
        <f>SUM(T279:T448)</f>
        <v>0</v>
      </c>
      <c r="W456" s="6"/>
      <c r="X456" s="55"/>
    </row>
    <row r="457" spans="1:26" s="2" customFormat="1" ht="14.1" hidden="1" customHeight="1" thickBot="1" x14ac:dyDescent="0.3">
      <c r="A457" s="433"/>
      <c r="B457" s="609"/>
      <c r="C457" s="609"/>
      <c r="D457" s="480"/>
      <c r="E457" s="480"/>
      <c r="F457" s="480"/>
      <c r="G457" s="434"/>
      <c r="H457" s="435"/>
      <c r="I457" s="435"/>
      <c r="J457" s="435"/>
      <c r="K457" s="435"/>
      <c r="L457" s="435"/>
      <c r="M457" s="434"/>
      <c r="N457" s="434"/>
      <c r="O457" s="434"/>
      <c r="P457" s="436"/>
      <c r="Q457" s="437"/>
      <c r="R457" s="476"/>
      <c r="S457" s="476" t="s">
        <v>20</v>
      </c>
      <c r="T457" s="438">
        <f>SUM(T8:T456)/2</f>
        <v>1015589.8149999999</v>
      </c>
      <c r="U457" s="446"/>
      <c r="V457" s="49" t="e">
        <f>SUM(#REF!,#REF!,#REF!,#REF!,T456,#REF!,#REF!,T277,#REF!,T252,#REF!,#REF!,#REF!,T219,#REF!,#REF!,T144,T95)</f>
        <v>#REF!</v>
      </c>
      <c r="W457" s="45"/>
    </row>
    <row r="458" spans="1:26" ht="14.1" hidden="1" customHeight="1" x14ac:dyDescent="0.25">
      <c r="A458" s="12"/>
      <c r="B458" s="8"/>
      <c r="C458" s="8"/>
      <c r="D458" s="8"/>
      <c r="E458" s="8"/>
      <c r="F458" s="8"/>
      <c r="G458" s="13"/>
      <c r="H458" s="12"/>
      <c r="I458" s="12"/>
      <c r="J458" s="12"/>
      <c r="K458" s="12"/>
      <c r="L458" s="12"/>
      <c r="M458" s="7"/>
      <c r="N458" s="7"/>
      <c r="O458" s="7"/>
      <c r="P458" s="5"/>
      <c r="Q458" s="7"/>
    </row>
    <row r="459" spans="1:26" ht="13.5" hidden="1" customHeight="1" x14ac:dyDescent="0.25">
      <c r="A459" s="53"/>
      <c r="B459" s="53"/>
      <c r="C459" s="53"/>
      <c r="D459" s="53"/>
      <c r="E459" s="25"/>
      <c r="F459" s="53"/>
      <c r="G459" s="22"/>
      <c r="I459" s="447"/>
      <c r="J459" s="447"/>
      <c r="K459" s="447"/>
      <c r="L459" s="447"/>
      <c r="M459" s="14"/>
      <c r="N459" s="7"/>
      <c r="O459" s="7"/>
      <c r="Q459" s="610"/>
      <c r="R459" s="610"/>
      <c r="S459" s="610"/>
      <c r="T459" s="448"/>
      <c r="V459" s="7"/>
      <c r="W459" s="10"/>
    </row>
    <row r="460" spans="1:26" s="449" customFormat="1" ht="12.75" customHeight="1" x14ac:dyDescent="0.25">
      <c r="A460" s="450" t="s">
        <v>164</v>
      </c>
      <c r="G460" s="451" t="s">
        <v>165</v>
      </c>
      <c r="K460" s="452"/>
      <c r="L460" s="453"/>
      <c r="M460" s="453"/>
      <c r="N460" s="453"/>
      <c r="O460" s="454" t="s">
        <v>166</v>
      </c>
      <c r="P460" s="455"/>
      <c r="S460" s="456" t="s">
        <v>167</v>
      </c>
      <c r="X460" s="457"/>
      <c r="Z460" s="458" t="e">
        <f>SUM(#REF!)/2</f>
        <v>#REF!</v>
      </c>
    </row>
    <row r="461" spans="1:26" s="449" customFormat="1" ht="12.75" customHeight="1" x14ac:dyDescent="0.25">
      <c r="A461" s="450"/>
      <c r="C461" s="450"/>
      <c r="D461" s="450"/>
      <c r="E461" s="450"/>
      <c r="F461" s="450"/>
      <c r="G461" s="451"/>
      <c r="H461" s="450"/>
      <c r="J461" s="459"/>
      <c r="K461" s="450"/>
      <c r="L461" s="460"/>
      <c r="M461" s="459"/>
      <c r="N461" s="450"/>
      <c r="O461" s="461"/>
      <c r="R461" s="459"/>
      <c r="S461" s="456"/>
      <c r="T461" s="460"/>
      <c r="Z461" s="458" t="e">
        <f>Z459-Z460-#REF!</f>
        <v>#REF!</v>
      </c>
    </row>
    <row r="462" spans="1:26" s="449" customFormat="1" ht="12.75" customHeight="1" x14ac:dyDescent="0.25">
      <c r="A462" s="450"/>
      <c r="C462" s="450"/>
      <c r="D462" s="450"/>
      <c r="E462" s="450"/>
      <c r="F462" s="450"/>
      <c r="G462" s="451"/>
      <c r="H462" s="450"/>
      <c r="J462" s="459"/>
      <c r="K462" s="450"/>
      <c r="L462" s="460"/>
      <c r="M462" s="459"/>
      <c r="N462" s="450"/>
      <c r="O462" s="461"/>
      <c r="R462" s="450"/>
      <c r="S462" s="456"/>
      <c r="T462" s="460"/>
      <c r="W462" s="457"/>
      <c r="Z462" s="458">
        <f>X458*1.1</f>
        <v>0</v>
      </c>
    </row>
    <row r="463" spans="1:26" s="449" customFormat="1" ht="7.5" customHeight="1" x14ac:dyDescent="0.25">
      <c r="F463" s="450"/>
      <c r="T463" s="460"/>
      <c r="Z463" s="458">
        <f>X458/120</f>
        <v>0</v>
      </c>
    </row>
    <row r="464" spans="1:26" s="449" customFormat="1" ht="7.5" customHeight="1" x14ac:dyDescent="0.25">
      <c r="A464" s="462" t="s">
        <v>180</v>
      </c>
      <c r="C464" s="450"/>
      <c r="D464" s="450"/>
      <c r="F464" s="450"/>
      <c r="G464" s="463" t="s">
        <v>181</v>
      </c>
      <c r="H464" s="450"/>
      <c r="J464" s="459"/>
      <c r="K464" s="450"/>
      <c r="L464" s="460"/>
      <c r="M464" s="459"/>
      <c r="N464" s="450"/>
      <c r="O464" s="464" t="s">
        <v>168</v>
      </c>
      <c r="R464" s="450"/>
      <c r="S464" s="465" t="s">
        <v>169</v>
      </c>
      <c r="T464" s="460"/>
      <c r="Z464" s="457"/>
    </row>
    <row r="465" spans="1:69" s="449" customFormat="1" ht="12.75" customHeight="1" x14ac:dyDescent="0.25">
      <c r="A465" s="450" t="s">
        <v>170</v>
      </c>
      <c r="C465" s="450"/>
      <c r="D465" s="450"/>
      <c r="F465" s="466"/>
      <c r="G465" s="451" t="s">
        <v>182</v>
      </c>
      <c r="H465" s="450"/>
      <c r="J465" s="459"/>
      <c r="K465" s="450"/>
      <c r="L465" s="460"/>
      <c r="M465" s="459"/>
      <c r="N465" s="450"/>
      <c r="O465" s="454" t="s">
        <v>171</v>
      </c>
      <c r="R465" s="459"/>
      <c r="S465" s="456" t="s">
        <v>172</v>
      </c>
      <c r="T465" s="460"/>
      <c r="W465" s="457"/>
      <c r="Z465" s="457"/>
    </row>
    <row r="466" spans="1:69" s="449" customFormat="1" ht="12.75" customHeight="1" x14ac:dyDescent="0.25">
      <c r="C466" s="450"/>
      <c r="D466" s="450"/>
      <c r="E466" s="450"/>
      <c r="F466" s="450"/>
      <c r="G466" s="460" t="s">
        <v>183</v>
      </c>
      <c r="H466" s="466"/>
      <c r="J466" s="459"/>
      <c r="K466" s="450"/>
      <c r="L466" s="460"/>
      <c r="M466" s="459"/>
      <c r="N466" s="450"/>
      <c r="O466" s="454" t="s">
        <v>173</v>
      </c>
      <c r="R466" s="459"/>
      <c r="S466" s="456" t="s">
        <v>174</v>
      </c>
      <c r="T466" s="460"/>
      <c r="Z466" s="457"/>
    </row>
    <row r="467" spans="1:69" s="449" customFormat="1" ht="12.75" hidden="1" customHeight="1" x14ac:dyDescent="0.25">
      <c r="K467" s="452"/>
      <c r="L467" s="453"/>
      <c r="M467" s="453"/>
      <c r="N467" s="453"/>
      <c r="O467" s="467"/>
      <c r="P467" s="455"/>
    </row>
    <row r="468" spans="1:69" s="449" customFormat="1" ht="12.75" hidden="1" customHeight="1" x14ac:dyDescent="0.25">
      <c r="K468" s="452"/>
      <c r="L468" s="453"/>
      <c r="M468" s="453"/>
      <c r="N468" s="453"/>
      <c r="O468" s="467"/>
      <c r="P468" s="455"/>
    </row>
    <row r="469" spans="1:69" s="449" customFormat="1" ht="12.75" hidden="1" customHeight="1" x14ac:dyDescent="0.25">
      <c r="A469" s="462" t="s">
        <v>175</v>
      </c>
      <c r="K469" s="452"/>
      <c r="L469" s="453"/>
      <c r="M469" s="453"/>
      <c r="N469" s="453"/>
      <c r="O469" s="467"/>
      <c r="P469" s="455"/>
    </row>
    <row r="470" spans="1:69" s="449" customFormat="1" ht="12.75" hidden="1" customHeight="1" x14ac:dyDescent="0.25">
      <c r="A470" s="450" t="s">
        <v>176</v>
      </c>
      <c r="K470" s="452"/>
      <c r="L470" s="453"/>
      <c r="M470" s="453"/>
      <c r="N470" s="453"/>
      <c r="O470" s="467"/>
      <c r="P470" s="455"/>
    </row>
    <row r="471" spans="1:69" s="47" customFormat="1" ht="13.2" hidden="1" customHeight="1" x14ac:dyDescent="0.25">
      <c r="A471" s="23"/>
      <c r="B471" s="6"/>
      <c r="C471" s="23"/>
      <c r="D471" s="6"/>
      <c r="E471" s="6"/>
      <c r="F471" s="6"/>
      <c r="G471" s="6"/>
      <c r="H471" s="6"/>
      <c r="I471" s="6"/>
      <c r="J471" s="6"/>
      <c r="K471" s="6"/>
      <c r="L471" s="6"/>
      <c r="M471" s="23"/>
      <c r="N471" s="24"/>
      <c r="O471" s="24"/>
      <c r="P471" s="9"/>
      <c r="Q471" s="6"/>
      <c r="R471" s="10"/>
      <c r="S471" s="31"/>
      <c r="T471" s="10"/>
      <c r="U471" s="10"/>
      <c r="W471" s="7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</row>
    <row r="472" spans="1:69" s="47" customFormat="1" ht="13.2" hidden="1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24"/>
      <c r="O472" s="24"/>
      <c r="P472" s="9"/>
      <c r="Q472" s="6"/>
      <c r="R472" s="10"/>
      <c r="S472" s="10"/>
      <c r="T472" s="10"/>
      <c r="U472" s="10"/>
      <c r="W472" s="7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</row>
    <row r="474" spans="1:69" s="47" customFormat="1" ht="13.2" hidden="1" customHeight="1" x14ac:dyDescent="0.25">
      <c r="A474" s="462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9"/>
      <c r="Q474" s="6"/>
      <c r="R474" s="10"/>
      <c r="S474" s="10"/>
      <c r="T474" s="10"/>
      <c r="U474" s="10"/>
      <c r="W474" s="7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</row>
    <row r="475" spans="1:69" s="47" customFormat="1" ht="13.2" hidden="1" customHeight="1" x14ac:dyDescent="0.25">
      <c r="A475" s="450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9"/>
      <c r="Q475" s="6"/>
      <c r="R475" s="10"/>
      <c r="S475" s="10"/>
      <c r="T475" s="10"/>
      <c r="U475" s="10"/>
      <c r="W475" s="7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</row>
    <row r="484" spans="1:69" s="47" customFormat="1" ht="13.2" hidden="1" customHeight="1" x14ac:dyDescent="0.25">
      <c r="A484" s="16"/>
      <c r="B484" s="16"/>
      <c r="C484" s="1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9"/>
      <c r="Q484" s="6"/>
      <c r="R484" s="10"/>
      <c r="S484" s="10"/>
      <c r="T484" s="10"/>
      <c r="U484" s="10"/>
      <c r="W484" s="7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</row>
    <row r="485" spans="1:69" s="47" customFormat="1" ht="13.2" hidden="1" customHeight="1" x14ac:dyDescent="0.25">
      <c r="A485" s="16"/>
      <c r="B485" s="16"/>
      <c r="C485" s="16"/>
      <c r="D485" s="25"/>
      <c r="E485" s="25"/>
      <c r="F485" s="25"/>
      <c r="G485" s="22"/>
      <c r="H485" s="6"/>
      <c r="I485" s="6"/>
      <c r="J485" s="6"/>
      <c r="K485" s="6"/>
      <c r="L485" s="6"/>
      <c r="M485" s="6"/>
      <c r="N485" s="6"/>
      <c r="O485" s="6"/>
      <c r="P485" s="9"/>
      <c r="Q485" s="6"/>
      <c r="R485" s="10"/>
      <c r="S485" s="10"/>
      <c r="T485" s="30"/>
      <c r="U485" s="26"/>
      <c r="W485" s="7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</row>
    <row r="486" spans="1:69" s="47" customFormat="1" ht="13.2" hidden="1" customHeight="1" x14ac:dyDescent="0.25">
      <c r="A486" s="6"/>
      <c r="B486" s="6"/>
      <c r="C486" s="6"/>
      <c r="D486" s="25"/>
      <c r="E486" s="25"/>
      <c r="F486" s="25"/>
      <c r="G486" s="22"/>
      <c r="H486" s="6"/>
      <c r="I486" s="6"/>
      <c r="J486" s="6"/>
      <c r="K486" s="6"/>
      <c r="L486" s="6"/>
      <c r="M486" s="6"/>
      <c r="N486" s="6"/>
      <c r="O486" s="6"/>
      <c r="P486" s="9"/>
      <c r="Q486" s="6"/>
      <c r="R486" s="10"/>
      <c r="S486" s="10"/>
      <c r="T486" s="10"/>
      <c r="U486" s="10"/>
      <c r="W486" s="7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</row>
    <row r="487" spans="1:69" s="47" customFormat="1" ht="13.2" hidden="1" customHeight="1" x14ac:dyDescent="0.25">
      <c r="A487" s="53"/>
      <c r="B487" s="53"/>
      <c r="C487" s="53"/>
      <c r="D487" s="25"/>
      <c r="E487" s="25"/>
      <c r="F487" s="25"/>
      <c r="G487" s="22"/>
      <c r="H487" s="6"/>
      <c r="I487" s="6"/>
      <c r="J487" s="6"/>
      <c r="K487" s="6"/>
      <c r="L487" s="6"/>
      <c r="M487" s="6"/>
      <c r="N487" s="6"/>
      <c r="O487" s="6"/>
      <c r="P487" s="9"/>
      <c r="Q487" s="6"/>
      <c r="R487" s="10"/>
      <c r="S487" s="10"/>
      <c r="T487" s="10"/>
      <c r="U487" s="10"/>
      <c r="W487" s="7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</row>
    <row r="488" spans="1:69" s="47" customFormat="1" ht="13.2" hidden="1" customHeight="1" x14ac:dyDescent="0.25">
      <c r="A488" s="53"/>
      <c r="B488" s="53"/>
      <c r="C488" s="53"/>
      <c r="D488" s="8"/>
      <c r="E488" s="8"/>
      <c r="F488" s="8"/>
      <c r="G488" s="22"/>
      <c r="H488" s="6"/>
      <c r="I488" s="6"/>
      <c r="J488" s="6"/>
      <c r="K488" s="6"/>
      <c r="L488" s="6"/>
      <c r="M488" s="6"/>
      <c r="N488" s="6"/>
      <c r="O488" s="6"/>
      <c r="P488" s="9"/>
      <c r="Q488" s="6"/>
      <c r="R488" s="10"/>
      <c r="S488" s="10"/>
      <c r="T488" s="10"/>
      <c r="U488" s="10"/>
      <c r="W488" s="7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</row>
    <row r="489" spans="1:69" s="47" customFormat="1" ht="13.2" hidden="1" customHeight="1" x14ac:dyDescent="0.25">
      <c r="A489" s="53"/>
      <c r="B489" s="53"/>
      <c r="C489" s="53"/>
      <c r="D489" s="25"/>
      <c r="E489" s="25"/>
      <c r="F489" s="25"/>
      <c r="G489" s="22"/>
      <c r="H489" s="6"/>
      <c r="I489" s="6"/>
      <c r="J489" s="6"/>
      <c r="K489" s="6"/>
      <c r="L489" s="6"/>
      <c r="M489" s="6"/>
      <c r="N489" s="6"/>
      <c r="O489" s="6"/>
      <c r="P489" s="9"/>
      <c r="Q489" s="6"/>
      <c r="R489" s="10"/>
      <c r="S489" s="10"/>
      <c r="T489" s="10"/>
      <c r="U489" s="26"/>
      <c r="W489" s="7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</row>
    <row r="490" spans="1:69" s="47" customFormat="1" ht="13.2" hidden="1" customHeight="1" x14ac:dyDescent="0.25">
      <c r="A490" s="53"/>
      <c r="B490" s="53"/>
      <c r="C490" s="53"/>
      <c r="D490" s="16"/>
      <c r="E490" s="16"/>
      <c r="F490" s="16"/>
      <c r="G490" s="6"/>
      <c r="H490" s="12"/>
      <c r="I490" s="12"/>
      <c r="J490" s="12"/>
      <c r="K490" s="12"/>
      <c r="L490" s="12"/>
      <c r="M490" s="12"/>
      <c r="N490" s="12"/>
      <c r="O490" s="12"/>
      <c r="P490" s="9"/>
      <c r="Q490" s="12"/>
      <c r="R490" s="27"/>
      <c r="S490" s="10"/>
      <c r="T490" s="10"/>
      <c r="U490" s="10"/>
      <c r="W490" s="7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</row>
    <row r="491" spans="1:69" s="47" customFormat="1" ht="13.2" hidden="1" customHeight="1" x14ac:dyDescent="0.25">
      <c r="A491" s="53"/>
      <c r="B491" s="53"/>
      <c r="C491" s="53"/>
      <c r="D491" s="16"/>
      <c r="E491" s="16"/>
      <c r="F491" s="16"/>
      <c r="G491" s="6"/>
      <c r="H491" s="12"/>
      <c r="I491" s="12"/>
      <c r="J491" s="12"/>
      <c r="K491" s="12"/>
      <c r="L491" s="12"/>
      <c r="M491" s="12"/>
      <c r="N491" s="12"/>
      <c r="O491" s="12"/>
      <c r="P491" s="9"/>
      <c r="Q491" s="12"/>
      <c r="R491" s="27"/>
      <c r="S491" s="10"/>
      <c r="T491" s="10"/>
      <c r="U491" s="10"/>
      <c r="W491" s="7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</row>
    <row r="492" spans="1:69" s="47" customFormat="1" ht="13.2" hidden="1" customHeight="1" x14ac:dyDescent="0.25">
      <c r="A492" s="53"/>
      <c r="B492" s="53"/>
      <c r="C492" s="53"/>
      <c r="D492" s="16"/>
      <c r="E492" s="16"/>
      <c r="F492" s="16"/>
      <c r="G492" s="6"/>
      <c r="H492" s="12"/>
      <c r="I492" s="12"/>
      <c r="J492" s="12"/>
      <c r="K492" s="12"/>
      <c r="L492" s="12"/>
      <c r="M492" s="12"/>
      <c r="N492" s="12"/>
      <c r="O492" s="12"/>
      <c r="P492" s="9"/>
      <c r="Q492" s="12"/>
      <c r="R492" s="27"/>
      <c r="S492" s="10"/>
      <c r="T492" s="10"/>
      <c r="U492" s="10"/>
      <c r="W492" s="7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</row>
    <row r="493" spans="1:69" s="47" customFormat="1" ht="13.2" hidden="1" customHeight="1" x14ac:dyDescent="0.25">
      <c r="A493" s="53"/>
      <c r="B493" s="53"/>
      <c r="C493" s="53"/>
      <c r="D493" s="16"/>
      <c r="E493" s="16"/>
      <c r="F493" s="16"/>
      <c r="G493" s="6"/>
      <c r="H493" s="12"/>
      <c r="I493" s="12"/>
      <c r="J493" s="12"/>
      <c r="K493" s="12"/>
      <c r="L493" s="12"/>
      <c r="M493" s="12"/>
      <c r="N493" s="12"/>
      <c r="O493" s="12"/>
      <c r="P493" s="9"/>
      <c r="Q493" s="12"/>
      <c r="R493" s="27"/>
      <c r="S493" s="10"/>
      <c r="T493" s="10"/>
      <c r="U493" s="10"/>
      <c r="W493" s="7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</row>
    <row r="494" spans="1:69" s="47" customFormat="1" ht="13.2" hidden="1" customHeight="1" x14ac:dyDescent="0.25">
      <c r="A494" s="53"/>
      <c r="B494" s="53"/>
      <c r="C494" s="53"/>
      <c r="D494" s="16"/>
      <c r="E494" s="16"/>
      <c r="F494" s="16"/>
      <c r="G494" s="6"/>
      <c r="H494" s="12"/>
      <c r="I494" s="12"/>
      <c r="J494" s="12"/>
      <c r="K494" s="12"/>
      <c r="L494" s="12"/>
      <c r="M494" s="12"/>
      <c r="N494" s="12"/>
      <c r="O494" s="12"/>
      <c r="P494" s="9"/>
      <c r="Q494" s="12"/>
      <c r="R494" s="27"/>
      <c r="S494" s="10"/>
      <c r="T494" s="10"/>
      <c r="U494" s="10"/>
      <c r="W494" s="7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</row>
    <row r="495" spans="1:69" s="47" customFormat="1" ht="13.2" hidden="1" customHeight="1" x14ac:dyDescent="0.25">
      <c r="A495" s="53"/>
      <c r="B495" s="53"/>
      <c r="C495" s="53"/>
      <c r="D495" s="16"/>
      <c r="E495" s="16"/>
      <c r="F495" s="16"/>
      <c r="G495" s="6"/>
      <c r="H495" s="12"/>
      <c r="I495" s="12"/>
      <c r="J495" s="12"/>
      <c r="K495" s="12"/>
      <c r="L495" s="12"/>
      <c r="M495" s="12"/>
      <c r="N495" s="12"/>
      <c r="O495" s="12"/>
      <c r="P495" s="9"/>
      <c r="Q495" s="12"/>
      <c r="R495" s="27"/>
      <c r="S495" s="10"/>
      <c r="T495" s="10"/>
      <c r="U495" s="10"/>
      <c r="W495" s="7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</row>
    <row r="496" spans="1:69" s="47" customFormat="1" ht="13.2" hidden="1" customHeight="1" x14ac:dyDescent="0.25">
      <c r="A496" s="53"/>
      <c r="B496" s="53"/>
      <c r="C496" s="53"/>
      <c r="D496" s="16"/>
      <c r="E496" s="16"/>
      <c r="F496" s="16"/>
      <c r="G496" s="6"/>
      <c r="H496" s="12"/>
      <c r="I496" s="12"/>
      <c r="J496" s="12"/>
      <c r="K496" s="12"/>
      <c r="L496" s="12"/>
      <c r="M496" s="12"/>
      <c r="N496" s="12"/>
      <c r="O496" s="12"/>
      <c r="P496" s="9"/>
      <c r="Q496" s="12"/>
      <c r="R496" s="27"/>
      <c r="S496" s="10"/>
      <c r="T496" s="10"/>
      <c r="U496" s="10"/>
      <c r="W496" s="7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</row>
    <row r="497" spans="1:69" s="47" customFormat="1" ht="13.2" hidden="1" customHeight="1" x14ac:dyDescent="0.25">
      <c r="A497" s="53"/>
      <c r="B497" s="53"/>
      <c r="C497" s="53"/>
      <c r="D497" s="16"/>
      <c r="E497" s="16"/>
      <c r="F497" s="16"/>
      <c r="G497" s="6"/>
      <c r="H497" s="12"/>
      <c r="I497" s="12"/>
      <c r="J497" s="12"/>
      <c r="K497" s="12"/>
      <c r="L497" s="12"/>
      <c r="M497" s="12"/>
      <c r="N497" s="12"/>
      <c r="O497" s="12"/>
      <c r="P497" s="9"/>
      <c r="Q497" s="12"/>
      <c r="R497" s="27"/>
      <c r="S497" s="10"/>
      <c r="T497" s="10"/>
      <c r="U497" s="10"/>
      <c r="W497" s="7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</row>
    <row r="498" spans="1:69" s="47" customFormat="1" ht="13.2" hidden="1" customHeight="1" x14ac:dyDescent="0.25">
      <c r="A498" s="53"/>
      <c r="B498" s="53"/>
      <c r="C498" s="53"/>
      <c r="D498" s="16"/>
      <c r="E498" s="16"/>
      <c r="F498" s="16"/>
      <c r="G498" s="6"/>
      <c r="H498" s="12"/>
      <c r="I498" s="12"/>
      <c r="J498" s="12"/>
      <c r="K498" s="12"/>
      <c r="L498" s="12"/>
      <c r="M498" s="12"/>
      <c r="N498" s="12"/>
      <c r="O498" s="12"/>
      <c r="P498" s="9"/>
      <c r="Q498" s="12"/>
      <c r="R498" s="27"/>
      <c r="S498" s="10"/>
      <c r="T498" s="10"/>
      <c r="U498" s="10"/>
      <c r="W498" s="7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</row>
    <row r="499" spans="1:69" s="47" customFormat="1" ht="13.2" hidden="1" customHeight="1" x14ac:dyDescent="0.25">
      <c r="A499" s="53"/>
      <c r="B499" s="53"/>
      <c r="C499" s="53"/>
      <c r="D499" s="16"/>
      <c r="E499" s="16"/>
      <c r="F499" s="16"/>
      <c r="G499" s="6"/>
      <c r="H499" s="12"/>
      <c r="I499" s="12"/>
      <c r="J499" s="12"/>
      <c r="K499" s="12"/>
      <c r="L499" s="12"/>
      <c r="M499" s="12"/>
      <c r="N499" s="12"/>
      <c r="O499" s="12"/>
      <c r="P499" s="9"/>
      <c r="Q499" s="12"/>
      <c r="R499" s="27"/>
      <c r="S499" s="10"/>
      <c r="T499" s="10"/>
      <c r="U499" s="10"/>
      <c r="W499" s="7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</row>
    <row r="500" spans="1:69" s="47" customFormat="1" ht="13.2" hidden="1" customHeight="1" x14ac:dyDescent="0.25">
      <c r="A500" s="53"/>
      <c r="B500" s="53"/>
      <c r="C500" s="53"/>
      <c r="D500" s="16"/>
      <c r="E500" s="16"/>
      <c r="F500" s="16"/>
      <c r="G500" s="6"/>
      <c r="H500" s="12"/>
      <c r="I500" s="12"/>
      <c r="J500" s="12"/>
      <c r="K500" s="12"/>
      <c r="L500" s="12"/>
      <c r="M500" s="12"/>
      <c r="N500" s="12"/>
      <c r="O500" s="12"/>
      <c r="P500" s="9"/>
      <c r="Q500" s="12"/>
      <c r="R500" s="27"/>
      <c r="S500" s="10"/>
      <c r="T500" s="10"/>
      <c r="U500" s="10"/>
      <c r="W500" s="7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</row>
    <row r="501" spans="1:69" s="47" customFormat="1" ht="13.2" hidden="1" customHeight="1" x14ac:dyDescent="0.25">
      <c r="A501" s="53"/>
      <c r="B501" s="53"/>
      <c r="C501" s="53"/>
      <c r="D501" s="16"/>
      <c r="E501" s="16"/>
      <c r="F501" s="16"/>
      <c r="G501" s="6"/>
      <c r="H501" s="12"/>
      <c r="I501" s="12"/>
      <c r="J501" s="12"/>
      <c r="K501" s="12"/>
      <c r="L501" s="12"/>
      <c r="M501" s="12"/>
      <c r="N501" s="12"/>
      <c r="O501" s="12"/>
      <c r="P501" s="9"/>
      <c r="Q501" s="12"/>
      <c r="R501" s="27"/>
      <c r="S501" s="10"/>
      <c r="T501" s="10"/>
      <c r="U501" s="10"/>
      <c r="W501" s="7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</row>
    <row r="502" spans="1:69" s="47" customFormat="1" ht="13.2" hidden="1" customHeight="1" x14ac:dyDescent="0.25">
      <c r="A502" s="53"/>
      <c r="B502" s="53"/>
      <c r="C502" s="53"/>
      <c r="D502" s="16"/>
      <c r="E502" s="16"/>
      <c r="F502" s="16"/>
      <c r="G502" s="6"/>
      <c r="H502" s="12"/>
      <c r="I502" s="12"/>
      <c r="J502" s="12"/>
      <c r="K502" s="12"/>
      <c r="L502" s="12"/>
      <c r="M502" s="12"/>
      <c r="N502" s="12"/>
      <c r="O502" s="12"/>
      <c r="P502" s="9"/>
      <c r="Q502" s="12"/>
      <c r="R502" s="27"/>
      <c r="S502" s="10"/>
      <c r="T502" s="10"/>
      <c r="U502" s="10"/>
      <c r="W502" s="7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</row>
    <row r="503" spans="1:69" s="47" customFormat="1" ht="13.2" hidden="1" customHeight="1" x14ac:dyDescent="0.25">
      <c r="A503" s="53"/>
      <c r="B503" s="53"/>
      <c r="C503" s="53"/>
      <c r="D503" s="16"/>
      <c r="E503" s="16"/>
      <c r="F503" s="16"/>
      <c r="G503" s="6"/>
      <c r="H503" s="12"/>
      <c r="I503" s="12"/>
      <c r="J503" s="12"/>
      <c r="K503" s="12"/>
      <c r="L503" s="12"/>
      <c r="M503" s="12"/>
      <c r="N503" s="12"/>
      <c r="O503" s="12"/>
      <c r="P503" s="9"/>
      <c r="Q503" s="12"/>
      <c r="R503" s="27"/>
      <c r="S503" s="10"/>
      <c r="T503" s="10"/>
      <c r="U503" s="10"/>
      <c r="W503" s="7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</row>
    <row r="504" spans="1:69" s="47" customFormat="1" ht="13.2" hidden="1" customHeight="1" x14ac:dyDescent="0.25">
      <c r="A504" s="53"/>
      <c r="B504" s="53"/>
      <c r="C504" s="53"/>
      <c r="D504" s="16"/>
      <c r="E504" s="16"/>
      <c r="F504" s="16"/>
      <c r="G504" s="6"/>
      <c r="H504" s="12"/>
      <c r="I504" s="12"/>
      <c r="J504" s="12"/>
      <c r="K504" s="12"/>
      <c r="L504" s="12"/>
      <c r="M504" s="12"/>
      <c r="N504" s="12"/>
      <c r="O504" s="12"/>
      <c r="P504" s="9"/>
      <c r="Q504" s="12"/>
      <c r="R504" s="27"/>
      <c r="S504" s="10"/>
      <c r="T504" s="10"/>
      <c r="U504" s="10"/>
      <c r="W504" s="7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</row>
    <row r="505" spans="1:69" s="47" customFormat="1" ht="13.2" hidden="1" customHeight="1" x14ac:dyDescent="0.25">
      <c r="A505" s="53"/>
      <c r="B505" s="53"/>
      <c r="C505" s="53"/>
      <c r="D505" s="16"/>
      <c r="E505" s="16"/>
      <c r="F505" s="16"/>
      <c r="G505" s="6"/>
      <c r="H505" s="12"/>
      <c r="I505" s="12"/>
      <c r="J505" s="12"/>
      <c r="K505" s="12"/>
      <c r="L505" s="12"/>
      <c r="M505" s="12"/>
      <c r="N505" s="12"/>
      <c r="O505" s="12"/>
      <c r="P505" s="9"/>
      <c r="Q505" s="12"/>
      <c r="R505" s="27"/>
      <c r="S505" s="10"/>
      <c r="T505" s="10"/>
      <c r="U505" s="10"/>
      <c r="W505" s="7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</row>
    <row r="506" spans="1:69" s="47" customFormat="1" ht="13.2" hidden="1" customHeight="1" x14ac:dyDescent="0.25">
      <c r="A506" s="53"/>
      <c r="B506" s="53"/>
      <c r="C506" s="53"/>
      <c r="D506" s="16"/>
      <c r="E506" s="16"/>
      <c r="F506" s="16"/>
      <c r="G506" s="6"/>
      <c r="H506" s="12"/>
      <c r="I506" s="12"/>
      <c r="J506" s="12"/>
      <c r="K506" s="12"/>
      <c r="L506" s="12"/>
      <c r="M506" s="12"/>
      <c r="N506" s="12"/>
      <c r="O506" s="12"/>
      <c r="P506" s="9"/>
      <c r="Q506" s="12"/>
      <c r="R506" s="27"/>
      <c r="S506" s="10"/>
      <c r="T506" s="10"/>
      <c r="U506" s="10"/>
      <c r="W506" s="7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</row>
    <row r="507" spans="1:69" s="47" customFormat="1" ht="13.2" hidden="1" customHeight="1" x14ac:dyDescent="0.25">
      <c r="A507" s="53"/>
      <c r="B507" s="53"/>
      <c r="C507" s="53"/>
      <c r="D507" s="16"/>
      <c r="E507" s="16"/>
      <c r="F507" s="16"/>
      <c r="G507" s="6"/>
      <c r="H507" s="12"/>
      <c r="I507" s="12"/>
      <c r="J507" s="12"/>
      <c r="K507" s="12"/>
      <c r="L507" s="12"/>
      <c r="M507" s="12"/>
      <c r="N507" s="12"/>
      <c r="O507" s="12"/>
      <c r="P507" s="9"/>
      <c r="Q507" s="12"/>
      <c r="R507" s="27"/>
      <c r="S507" s="10"/>
      <c r="T507" s="10"/>
      <c r="U507" s="26"/>
      <c r="W507" s="7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</row>
    <row r="508" spans="1:69" s="47" customFormat="1" ht="13.2" hidden="1" customHeight="1" x14ac:dyDescent="0.25">
      <c r="A508" s="6"/>
      <c r="B508" s="6"/>
      <c r="C508" s="6"/>
      <c r="D508" s="6"/>
      <c r="E508" s="6"/>
      <c r="F508" s="6"/>
      <c r="G508" s="6"/>
      <c r="H508" s="12"/>
      <c r="I508" s="12"/>
      <c r="J508" s="12"/>
      <c r="K508" s="12"/>
      <c r="L508" s="12"/>
      <c r="M508" s="12"/>
      <c r="N508" s="12"/>
      <c r="O508" s="12"/>
      <c r="P508" s="9"/>
      <c r="Q508" s="12"/>
      <c r="R508" s="27"/>
      <c r="S508" s="10"/>
      <c r="T508" s="10"/>
      <c r="U508" s="10"/>
      <c r="W508" s="7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</row>
    <row r="510" spans="1:69" s="47" customFormat="1" ht="13.2" hidden="1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9"/>
      <c r="Q510" s="6"/>
      <c r="R510" s="10"/>
      <c r="S510" s="10"/>
      <c r="T510" s="30"/>
      <c r="U510" s="10"/>
      <c r="W510" s="7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</row>
    <row r="511" spans="1:69" s="47" customFormat="1" ht="13.2" hidden="1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9"/>
      <c r="Q511" s="6"/>
      <c r="R511" s="10"/>
      <c r="S511" s="10"/>
      <c r="T511" s="30"/>
      <c r="U511" s="10"/>
      <c r="W511" s="7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</row>
    <row r="512" spans="1:69" s="47" customFormat="1" ht="13.2" hidden="1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9"/>
      <c r="Q512" s="6"/>
      <c r="R512" s="10"/>
      <c r="S512" s="10"/>
      <c r="T512" s="30"/>
      <c r="U512" s="26"/>
      <c r="W512" s="7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</row>
    <row r="513" spans="1:69" s="47" customFormat="1" ht="13.2" hidden="1" customHeight="1" x14ac:dyDescent="0.25">
      <c r="A513" s="16"/>
      <c r="B513" s="16"/>
      <c r="C513" s="1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9"/>
      <c r="Q513" s="6"/>
      <c r="R513" s="10"/>
      <c r="S513" s="10"/>
      <c r="T513" s="10"/>
      <c r="U513" s="11"/>
      <c r="W513" s="7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</row>
    <row r="514" spans="1:69" s="47" customFormat="1" ht="13.2" hidden="1" customHeight="1" x14ac:dyDescent="0.25">
      <c r="A514" s="16"/>
      <c r="B514" s="16"/>
      <c r="C514" s="1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9"/>
      <c r="Q514" s="6"/>
      <c r="R514" s="10"/>
      <c r="S514" s="10"/>
      <c r="T514" s="10"/>
      <c r="U514" s="11"/>
      <c r="W514" s="7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</row>
    <row r="515" spans="1:69" s="47" customFormat="1" ht="13.2" hidden="1" customHeight="1" x14ac:dyDescent="0.25">
      <c r="A515" s="53"/>
      <c r="B515" s="53"/>
      <c r="C515" s="53"/>
      <c r="D515" s="16"/>
      <c r="E515" s="16"/>
      <c r="F515" s="16"/>
      <c r="G515" s="6"/>
      <c r="H515" s="12"/>
      <c r="I515" s="12"/>
      <c r="J515" s="12"/>
      <c r="K515" s="12"/>
      <c r="L515" s="12"/>
      <c r="M515" s="12"/>
      <c r="N515" s="12"/>
      <c r="O515" s="12"/>
      <c r="P515" s="9"/>
      <c r="Q515" s="12"/>
      <c r="R515" s="27"/>
      <c r="S515" s="10"/>
      <c r="T515" s="10"/>
      <c r="U515" s="10"/>
      <c r="W515" s="7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</row>
    <row r="516" spans="1:69" s="47" customFormat="1" ht="13.2" hidden="1" customHeight="1" x14ac:dyDescent="0.25">
      <c r="A516" s="53"/>
      <c r="B516" s="53"/>
      <c r="C516" s="53"/>
      <c r="D516" s="16"/>
      <c r="E516" s="16"/>
      <c r="F516" s="16"/>
      <c r="G516" s="6"/>
      <c r="H516" s="12"/>
      <c r="I516" s="12"/>
      <c r="J516" s="12"/>
      <c r="K516" s="12"/>
      <c r="L516" s="12"/>
      <c r="M516" s="12"/>
      <c r="N516" s="12"/>
      <c r="O516" s="12"/>
      <c r="P516" s="9"/>
      <c r="Q516" s="12"/>
      <c r="R516" s="27"/>
      <c r="S516" s="10"/>
      <c r="T516" s="10"/>
      <c r="U516" s="26"/>
      <c r="W516" s="7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</row>
    <row r="517" spans="1:69" s="47" customFormat="1" ht="13.2" hidden="1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9"/>
      <c r="Q517" s="6"/>
      <c r="R517" s="10"/>
      <c r="S517" s="10"/>
      <c r="T517" s="10"/>
      <c r="U517" s="11"/>
      <c r="W517" s="7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</row>
    <row r="519" spans="1:69" s="7" customFormat="1" ht="13.2" hidden="1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9"/>
      <c r="Q519" s="6"/>
      <c r="R519" s="10"/>
      <c r="S519" s="10"/>
      <c r="T519" s="10"/>
      <c r="U519" s="11"/>
      <c r="V519" s="47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</row>
    <row r="521" spans="1:69" s="7" customFormat="1" ht="13.2" hidden="1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9"/>
      <c r="Q521" s="6"/>
      <c r="R521" s="10"/>
      <c r="S521" s="10"/>
      <c r="T521" s="10"/>
      <c r="U521" s="11"/>
      <c r="V521" s="47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</row>
    <row r="527" spans="1:69" s="7" customFormat="1" ht="13.2" hidden="1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9"/>
      <c r="Q527" s="6"/>
      <c r="R527" s="10"/>
      <c r="S527" s="10"/>
      <c r="T527" s="10"/>
      <c r="U527" s="10"/>
      <c r="V527" s="52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</row>
    <row r="532" spans="1:69" s="7" customFormat="1" ht="13.2" hidden="1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9"/>
      <c r="Q532" s="6"/>
      <c r="R532" s="10"/>
      <c r="S532" s="10"/>
      <c r="T532" s="10"/>
      <c r="U532" s="10"/>
      <c r="V532" s="52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</row>
    <row r="535" spans="1:69" s="7" customFormat="1" ht="13.2" hidden="1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9"/>
      <c r="Q535" s="6"/>
      <c r="R535" s="10"/>
      <c r="S535" s="10"/>
      <c r="T535" s="10"/>
      <c r="U535" s="10"/>
      <c r="V535" s="49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</row>
    <row r="538" spans="1:69" s="7" customFormat="1" ht="13.2" hidden="1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9"/>
      <c r="Q538" s="6"/>
      <c r="R538" s="10"/>
      <c r="S538" s="26"/>
      <c r="T538" s="26"/>
      <c r="U538" s="10"/>
      <c r="V538" s="47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</row>
    <row r="541" spans="1:69" s="7" customFormat="1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9"/>
      <c r="Q541" s="6"/>
      <c r="R541" s="10"/>
      <c r="S541" s="10"/>
      <c r="T541" s="10"/>
      <c r="U541" s="10"/>
      <c r="V541" s="52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</row>
    <row r="542" spans="1:69" s="7" customFormat="1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9"/>
      <c r="Q542" s="6"/>
      <c r="R542" s="10"/>
      <c r="S542" s="10"/>
      <c r="T542" s="10"/>
      <c r="U542" s="10"/>
      <c r="V542" s="49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</row>
    <row r="543" spans="1:69" s="7" customFormat="1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9"/>
      <c r="Q543" s="6"/>
      <c r="R543" s="10"/>
      <c r="S543" s="26"/>
      <c r="T543" s="26"/>
      <c r="U543" s="10"/>
      <c r="V543" s="47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</row>
    <row r="546" spans="1:69" s="7" customFormat="1" ht="13.2" hidden="1" customHeight="1" x14ac:dyDescent="0.25">
      <c r="A546" s="6"/>
      <c r="B546" s="6"/>
      <c r="C546" s="6"/>
      <c r="D546" s="6"/>
      <c r="E546" s="6"/>
      <c r="F546" s="6"/>
      <c r="G546" s="6"/>
      <c r="H546" s="16"/>
      <c r="I546" s="16"/>
      <c r="J546" s="16"/>
      <c r="K546" s="16"/>
      <c r="L546" s="16"/>
      <c r="M546" s="16"/>
      <c r="N546" s="16"/>
      <c r="O546" s="16"/>
      <c r="P546" s="21"/>
      <c r="Q546" s="16"/>
      <c r="R546" s="11"/>
      <c r="S546" s="11"/>
      <c r="T546" s="11"/>
      <c r="U546" s="11"/>
      <c r="V546" s="47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</row>
    <row r="548" spans="1:69" s="7" customFormat="1" ht="13.2" hidden="1" customHeight="1" x14ac:dyDescent="0.25">
      <c r="A548" s="6"/>
      <c r="B548" s="6"/>
      <c r="C548" s="6"/>
      <c r="D548" s="16"/>
      <c r="E548" s="16"/>
      <c r="F548" s="16"/>
      <c r="G548" s="6"/>
      <c r="H548" s="6"/>
      <c r="I548" s="6"/>
      <c r="J548" s="6"/>
      <c r="K548" s="6"/>
      <c r="L548" s="6"/>
      <c r="M548" s="6"/>
      <c r="N548" s="6"/>
      <c r="O548" s="6"/>
      <c r="P548" s="9"/>
      <c r="Q548" s="6"/>
      <c r="R548" s="10"/>
      <c r="S548" s="10"/>
      <c r="T548" s="10"/>
      <c r="U548" s="10"/>
      <c r="V548" s="47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</row>
    <row r="552" spans="1:69" s="47" customFormat="1" ht="13.2" hidden="1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9"/>
      <c r="Q552" s="6"/>
      <c r="R552" s="10"/>
      <c r="S552" s="26"/>
      <c r="T552" s="26"/>
      <c r="U552" s="10"/>
      <c r="W552" s="7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</row>
    <row r="553" spans="1:69" s="47" customFormat="1" ht="13.2" hidden="1" customHeight="1" x14ac:dyDescent="0.25">
      <c r="A553" s="6"/>
      <c r="B553" s="6"/>
      <c r="C553" s="6"/>
      <c r="D553" s="6"/>
      <c r="E553" s="6"/>
      <c r="F553" s="6"/>
      <c r="G553" s="6"/>
      <c r="H553" s="16"/>
      <c r="I553" s="16"/>
      <c r="J553" s="16"/>
      <c r="K553" s="16"/>
      <c r="L553" s="16"/>
      <c r="M553" s="16"/>
      <c r="N553" s="16"/>
      <c r="O553" s="16"/>
      <c r="P553" s="21"/>
      <c r="Q553" s="16"/>
      <c r="R553" s="11"/>
      <c r="S553" s="11"/>
      <c r="T553" s="11"/>
      <c r="U553" s="11"/>
      <c r="W553" s="7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</row>
  </sheetData>
  <sheetProtection selectLockedCells="1" selectUnlockedCells="1"/>
  <mergeCells count="20">
    <mergeCell ref="B277:D277"/>
    <mergeCell ref="C280:F280"/>
    <mergeCell ref="B457:C457"/>
    <mergeCell ref="Q459:S459"/>
    <mergeCell ref="K6:K7"/>
    <mergeCell ref="L6:L7"/>
    <mergeCell ref="N6:O6"/>
    <mergeCell ref="P6:Q6"/>
    <mergeCell ref="R6:R7"/>
    <mergeCell ref="B95:D95"/>
    <mergeCell ref="A1:U1"/>
    <mergeCell ref="A2:U2"/>
    <mergeCell ref="A3:U3"/>
    <mergeCell ref="A4:U4"/>
    <mergeCell ref="A6:A7"/>
    <mergeCell ref="B6:F7"/>
    <mergeCell ref="G6:G7"/>
    <mergeCell ref="H6:H7"/>
    <mergeCell ref="I6:I7"/>
    <mergeCell ref="J6:J7"/>
  </mergeCells>
  <printOptions horizontalCentered="1"/>
  <pageMargins left="0.11811023622047245" right="0.11811023622047245" top="0" bottom="0.31496062992125984" header="0.51181102362204722" footer="0"/>
  <pageSetup paperSize="9" scale="59" firstPageNumber="0" orientation="landscape" horizontalDpi="300" verticalDpi="300" r:id="rId1"/>
  <headerFooter alignWithMargins="0">
    <oddFooter>&amp;RPage &amp;P of &amp;N</oddFooter>
  </headerFooter>
  <rowBreaks count="1" manualBreakCount="1">
    <brk id="251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F5A4F-E0AB-4D58-97E0-45CF39B6B25C}">
  <sheetPr>
    <outlinePr showOutlineSymbols="0"/>
    <pageSetUpPr fitToPage="1"/>
  </sheetPr>
  <dimension ref="A1:Z95"/>
  <sheetViews>
    <sheetView tabSelected="1" view="pageBreakPreview" zoomScale="78" zoomScaleNormal="85" zoomScaleSheetLayoutView="78" workbookViewId="0">
      <pane ySplit="9" topLeftCell="A24" activePane="bottomLeft" state="frozen"/>
      <selection pane="bottomLeft" activeCell="C26" sqref="C26:K26"/>
    </sheetView>
  </sheetViews>
  <sheetFormatPr defaultColWidth="9.109375" defaultRowHeight="12.75" customHeight="1" outlineLevelRow="1" x14ac:dyDescent="0.25"/>
  <cols>
    <col min="1" max="1" width="6.109375" style="500" customWidth="1"/>
    <col min="2" max="2" width="7.88671875" style="500" bestFit="1" customWidth="1"/>
    <col min="3" max="3" width="2.6640625" style="500" customWidth="1"/>
    <col min="4" max="4" width="2" style="500" customWidth="1"/>
    <col min="5" max="8" width="10.5546875" style="500" customWidth="1"/>
    <col min="9" max="9" width="13.21875" style="500" customWidth="1"/>
    <col min="10" max="10" width="10.44140625" style="500" customWidth="1"/>
    <col min="11" max="11" width="12" style="500" customWidth="1"/>
    <col min="12" max="12" width="9.109375" style="501" customWidth="1"/>
    <col min="13" max="13" width="6.6640625" style="526" customWidth="1"/>
    <col min="14" max="14" width="16.88671875" style="527" bestFit="1" customWidth="1"/>
    <col min="15" max="15" width="14.5546875" style="500" bestFit="1" customWidth="1"/>
    <col min="16" max="16" width="14.33203125" style="500" bestFit="1" customWidth="1"/>
    <col min="17" max="17" width="8.44140625" style="500" customWidth="1"/>
    <col min="18" max="18" width="11.88671875" style="500" bestFit="1" customWidth="1"/>
    <col min="19" max="19" width="6.6640625" style="500" hidden="1" customWidth="1"/>
    <col min="20" max="20" width="14.33203125" style="500" bestFit="1" customWidth="1"/>
    <col min="21" max="21" width="15" style="500" customWidth="1"/>
    <col min="22" max="22" width="1.33203125" style="500" hidden="1" customWidth="1"/>
    <col min="23" max="23" width="17.109375" style="500" customWidth="1"/>
    <col min="24" max="24" width="13.44140625" style="500" customWidth="1"/>
    <col min="25" max="25" width="24.44140625" style="500" bestFit="1" customWidth="1"/>
    <col min="26" max="26" width="13.6640625" style="500" bestFit="1" customWidth="1"/>
    <col min="27" max="27" width="9.5546875" style="500" bestFit="1" customWidth="1"/>
    <col min="28" max="245" width="9.109375" style="500"/>
    <col min="246" max="246" width="4.33203125" style="500" customWidth="1"/>
    <col min="247" max="247" width="5.5546875" style="500" customWidth="1"/>
    <col min="248" max="248" width="1.6640625" style="500" customWidth="1"/>
    <col min="249" max="252" width="10.5546875" style="500" customWidth="1"/>
    <col min="253" max="253" width="13" style="500" customWidth="1"/>
    <col min="254" max="254" width="9.6640625" style="500" customWidth="1"/>
    <col min="255" max="255" width="9.44140625" style="500" customWidth="1"/>
    <col min="256" max="256" width="6.6640625" style="500" customWidth="1"/>
    <col min="257" max="257" width="15.6640625" style="500" customWidth="1"/>
    <col min="258" max="258" width="14.33203125" style="500" customWidth="1"/>
    <col min="259" max="259" width="15.6640625" style="500" customWidth="1"/>
    <col min="260" max="260" width="16.109375" style="500" customWidth="1"/>
    <col min="261" max="261" width="14.88671875" style="500" customWidth="1"/>
    <col min="262" max="262" width="16.6640625" style="500" customWidth="1"/>
    <col min="263" max="269" width="0" style="500" hidden="1" customWidth="1"/>
    <col min="270" max="501" width="9.109375" style="500"/>
    <col min="502" max="502" width="4.33203125" style="500" customWidth="1"/>
    <col min="503" max="503" width="5.5546875" style="500" customWidth="1"/>
    <col min="504" max="504" width="1.6640625" style="500" customWidth="1"/>
    <col min="505" max="508" width="10.5546875" style="500" customWidth="1"/>
    <col min="509" max="509" width="13" style="500" customWidth="1"/>
    <col min="510" max="510" width="9.6640625" style="500" customWidth="1"/>
    <col min="511" max="511" width="9.44140625" style="500" customWidth="1"/>
    <col min="512" max="512" width="6.6640625" style="500" customWidth="1"/>
    <col min="513" max="513" width="15.6640625" style="500" customWidth="1"/>
    <col min="514" max="514" width="14.33203125" style="500" customWidth="1"/>
    <col min="515" max="515" width="15.6640625" style="500" customWidth="1"/>
    <col min="516" max="516" width="16.109375" style="500" customWidth="1"/>
    <col min="517" max="517" width="14.88671875" style="500" customWidth="1"/>
    <col min="518" max="518" width="16.6640625" style="500" customWidth="1"/>
    <col min="519" max="525" width="0" style="500" hidden="1" customWidth="1"/>
    <col min="526" max="757" width="9.109375" style="500"/>
    <col min="758" max="758" width="4.33203125" style="500" customWidth="1"/>
    <col min="759" max="759" width="5.5546875" style="500" customWidth="1"/>
    <col min="760" max="760" width="1.6640625" style="500" customWidth="1"/>
    <col min="761" max="764" width="10.5546875" style="500" customWidth="1"/>
    <col min="765" max="765" width="13" style="500" customWidth="1"/>
    <col min="766" max="766" width="9.6640625" style="500" customWidth="1"/>
    <col min="767" max="767" width="9.44140625" style="500" customWidth="1"/>
    <col min="768" max="768" width="6.6640625" style="500" customWidth="1"/>
    <col min="769" max="769" width="15.6640625" style="500" customWidth="1"/>
    <col min="770" max="770" width="14.33203125" style="500" customWidth="1"/>
    <col min="771" max="771" width="15.6640625" style="500" customWidth="1"/>
    <col min="772" max="772" width="16.109375" style="500" customWidth="1"/>
    <col min="773" max="773" width="14.88671875" style="500" customWidth="1"/>
    <col min="774" max="774" width="16.6640625" style="500" customWidth="1"/>
    <col min="775" max="781" width="0" style="500" hidden="1" customWidth="1"/>
    <col min="782" max="1013" width="9.109375" style="500"/>
    <col min="1014" max="1014" width="4.33203125" style="500" customWidth="1"/>
    <col min="1015" max="1015" width="5.5546875" style="500" customWidth="1"/>
    <col min="1016" max="1016" width="1.6640625" style="500" customWidth="1"/>
    <col min="1017" max="1020" width="10.5546875" style="500" customWidth="1"/>
    <col min="1021" max="1021" width="13" style="500" customWidth="1"/>
    <col min="1022" max="1022" width="9.6640625" style="500" customWidth="1"/>
    <col min="1023" max="1023" width="9.44140625" style="500" customWidth="1"/>
    <col min="1024" max="1024" width="6.6640625" style="500" customWidth="1"/>
    <col min="1025" max="1025" width="15.6640625" style="500" customWidth="1"/>
    <col min="1026" max="1026" width="14.33203125" style="500" customWidth="1"/>
    <col min="1027" max="1027" width="15.6640625" style="500" customWidth="1"/>
    <col min="1028" max="1028" width="16.109375" style="500" customWidth="1"/>
    <col min="1029" max="1029" width="14.88671875" style="500" customWidth="1"/>
    <col min="1030" max="1030" width="16.6640625" style="500" customWidth="1"/>
    <col min="1031" max="1037" width="0" style="500" hidden="1" customWidth="1"/>
    <col min="1038" max="1269" width="9.109375" style="500"/>
    <col min="1270" max="1270" width="4.33203125" style="500" customWidth="1"/>
    <col min="1271" max="1271" width="5.5546875" style="500" customWidth="1"/>
    <col min="1272" max="1272" width="1.6640625" style="500" customWidth="1"/>
    <col min="1273" max="1276" width="10.5546875" style="500" customWidth="1"/>
    <col min="1277" max="1277" width="13" style="500" customWidth="1"/>
    <col min="1278" max="1278" width="9.6640625" style="500" customWidth="1"/>
    <col min="1279" max="1279" width="9.44140625" style="500" customWidth="1"/>
    <col min="1280" max="1280" width="6.6640625" style="500" customWidth="1"/>
    <col min="1281" max="1281" width="15.6640625" style="500" customWidth="1"/>
    <col min="1282" max="1282" width="14.33203125" style="500" customWidth="1"/>
    <col min="1283" max="1283" width="15.6640625" style="500" customWidth="1"/>
    <col min="1284" max="1284" width="16.109375" style="500" customWidth="1"/>
    <col min="1285" max="1285" width="14.88671875" style="500" customWidth="1"/>
    <col min="1286" max="1286" width="16.6640625" style="500" customWidth="1"/>
    <col min="1287" max="1293" width="0" style="500" hidden="1" customWidth="1"/>
    <col min="1294" max="1525" width="9.109375" style="500"/>
    <col min="1526" max="1526" width="4.33203125" style="500" customWidth="1"/>
    <col min="1527" max="1527" width="5.5546875" style="500" customWidth="1"/>
    <col min="1528" max="1528" width="1.6640625" style="500" customWidth="1"/>
    <col min="1529" max="1532" width="10.5546875" style="500" customWidth="1"/>
    <col min="1533" max="1533" width="13" style="500" customWidth="1"/>
    <col min="1534" max="1534" width="9.6640625" style="500" customWidth="1"/>
    <col min="1535" max="1535" width="9.44140625" style="500" customWidth="1"/>
    <col min="1536" max="1536" width="6.6640625" style="500" customWidth="1"/>
    <col min="1537" max="1537" width="15.6640625" style="500" customWidth="1"/>
    <col min="1538" max="1538" width="14.33203125" style="500" customWidth="1"/>
    <col min="1539" max="1539" width="15.6640625" style="500" customWidth="1"/>
    <col min="1540" max="1540" width="16.109375" style="500" customWidth="1"/>
    <col min="1541" max="1541" width="14.88671875" style="500" customWidth="1"/>
    <col min="1542" max="1542" width="16.6640625" style="500" customWidth="1"/>
    <col min="1543" max="1549" width="0" style="500" hidden="1" customWidth="1"/>
    <col min="1550" max="1781" width="9.109375" style="500"/>
    <col min="1782" max="1782" width="4.33203125" style="500" customWidth="1"/>
    <col min="1783" max="1783" width="5.5546875" style="500" customWidth="1"/>
    <col min="1784" max="1784" width="1.6640625" style="500" customWidth="1"/>
    <col min="1785" max="1788" width="10.5546875" style="500" customWidth="1"/>
    <col min="1789" max="1789" width="13" style="500" customWidth="1"/>
    <col min="1790" max="1790" width="9.6640625" style="500" customWidth="1"/>
    <col min="1791" max="1791" width="9.44140625" style="500" customWidth="1"/>
    <col min="1792" max="1792" width="6.6640625" style="500" customWidth="1"/>
    <col min="1793" max="1793" width="15.6640625" style="500" customWidth="1"/>
    <col min="1794" max="1794" width="14.33203125" style="500" customWidth="1"/>
    <col min="1795" max="1795" width="15.6640625" style="500" customWidth="1"/>
    <col min="1796" max="1796" width="16.109375" style="500" customWidth="1"/>
    <col min="1797" max="1797" width="14.88671875" style="500" customWidth="1"/>
    <col min="1798" max="1798" width="16.6640625" style="500" customWidth="1"/>
    <col min="1799" max="1805" width="0" style="500" hidden="1" customWidth="1"/>
    <col min="1806" max="2037" width="9.109375" style="500"/>
    <col min="2038" max="2038" width="4.33203125" style="500" customWidth="1"/>
    <col min="2039" max="2039" width="5.5546875" style="500" customWidth="1"/>
    <col min="2040" max="2040" width="1.6640625" style="500" customWidth="1"/>
    <col min="2041" max="2044" width="10.5546875" style="500" customWidth="1"/>
    <col min="2045" max="2045" width="13" style="500" customWidth="1"/>
    <col min="2046" max="2046" width="9.6640625" style="500" customWidth="1"/>
    <col min="2047" max="2047" width="9.44140625" style="500" customWidth="1"/>
    <col min="2048" max="2048" width="6.6640625" style="500" customWidth="1"/>
    <col min="2049" max="2049" width="15.6640625" style="500" customWidth="1"/>
    <col min="2050" max="2050" width="14.33203125" style="500" customWidth="1"/>
    <col min="2051" max="2051" width="15.6640625" style="500" customWidth="1"/>
    <col min="2052" max="2052" width="16.109375" style="500" customWidth="1"/>
    <col min="2053" max="2053" width="14.88671875" style="500" customWidth="1"/>
    <col min="2054" max="2054" width="16.6640625" style="500" customWidth="1"/>
    <col min="2055" max="2061" width="0" style="500" hidden="1" customWidth="1"/>
    <col min="2062" max="2293" width="9.109375" style="500"/>
    <col min="2294" max="2294" width="4.33203125" style="500" customWidth="1"/>
    <col min="2295" max="2295" width="5.5546875" style="500" customWidth="1"/>
    <col min="2296" max="2296" width="1.6640625" style="500" customWidth="1"/>
    <col min="2297" max="2300" width="10.5546875" style="500" customWidth="1"/>
    <col min="2301" max="2301" width="13" style="500" customWidth="1"/>
    <col min="2302" max="2302" width="9.6640625" style="500" customWidth="1"/>
    <col min="2303" max="2303" width="9.44140625" style="500" customWidth="1"/>
    <col min="2304" max="2304" width="6.6640625" style="500" customWidth="1"/>
    <col min="2305" max="2305" width="15.6640625" style="500" customWidth="1"/>
    <col min="2306" max="2306" width="14.33203125" style="500" customWidth="1"/>
    <col min="2307" max="2307" width="15.6640625" style="500" customWidth="1"/>
    <col min="2308" max="2308" width="16.109375" style="500" customWidth="1"/>
    <col min="2309" max="2309" width="14.88671875" style="500" customWidth="1"/>
    <col min="2310" max="2310" width="16.6640625" style="500" customWidth="1"/>
    <col min="2311" max="2317" width="0" style="500" hidden="1" customWidth="1"/>
    <col min="2318" max="2549" width="9.109375" style="500"/>
    <col min="2550" max="2550" width="4.33203125" style="500" customWidth="1"/>
    <col min="2551" max="2551" width="5.5546875" style="500" customWidth="1"/>
    <col min="2552" max="2552" width="1.6640625" style="500" customWidth="1"/>
    <col min="2553" max="2556" width="10.5546875" style="500" customWidth="1"/>
    <col min="2557" max="2557" width="13" style="500" customWidth="1"/>
    <col min="2558" max="2558" width="9.6640625" style="500" customWidth="1"/>
    <col min="2559" max="2559" width="9.44140625" style="500" customWidth="1"/>
    <col min="2560" max="2560" width="6.6640625" style="500" customWidth="1"/>
    <col min="2561" max="2561" width="15.6640625" style="500" customWidth="1"/>
    <col min="2562" max="2562" width="14.33203125" style="500" customWidth="1"/>
    <col min="2563" max="2563" width="15.6640625" style="500" customWidth="1"/>
    <col min="2564" max="2564" width="16.109375" style="500" customWidth="1"/>
    <col min="2565" max="2565" width="14.88671875" style="500" customWidth="1"/>
    <col min="2566" max="2566" width="16.6640625" style="500" customWidth="1"/>
    <col min="2567" max="2573" width="0" style="500" hidden="1" customWidth="1"/>
    <col min="2574" max="2805" width="9.109375" style="500"/>
    <col min="2806" max="2806" width="4.33203125" style="500" customWidth="1"/>
    <col min="2807" max="2807" width="5.5546875" style="500" customWidth="1"/>
    <col min="2808" max="2808" width="1.6640625" style="500" customWidth="1"/>
    <col min="2809" max="2812" width="10.5546875" style="500" customWidth="1"/>
    <col min="2813" max="2813" width="13" style="500" customWidth="1"/>
    <col min="2814" max="2814" width="9.6640625" style="500" customWidth="1"/>
    <col min="2815" max="2815" width="9.44140625" style="500" customWidth="1"/>
    <col min="2816" max="2816" width="6.6640625" style="500" customWidth="1"/>
    <col min="2817" max="2817" width="15.6640625" style="500" customWidth="1"/>
    <col min="2818" max="2818" width="14.33203125" style="500" customWidth="1"/>
    <col min="2819" max="2819" width="15.6640625" style="500" customWidth="1"/>
    <col min="2820" max="2820" width="16.109375" style="500" customWidth="1"/>
    <col min="2821" max="2821" width="14.88671875" style="500" customWidth="1"/>
    <col min="2822" max="2822" width="16.6640625" style="500" customWidth="1"/>
    <col min="2823" max="2829" width="0" style="500" hidden="1" customWidth="1"/>
    <col min="2830" max="3061" width="9.109375" style="500"/>
    <col min="3062" max="3062" width="4.33203125" style="500" customWidth="1"/>
    <col min="3063" max="3063" width="5.5546875" style="500" customWidth="1"/>
    <col min="3064" max="3064" width="1.6640625" style="500" customWidth="1"/>
    <col min="3065" max="3068" width="10.5546875" style="500" customWidth="1"/>
    <col min="3069" max="3069" width="13" style="500" customWidth="1"/>
    <col min="3070" max="3070" width="9.6640625" style="500" customWidth="1"/>
    <col min="3071" max="3071" width="9.44140625" style="500" customWidth="1"/>
    <col min="3072" max="3072" width="6.6640625" style="500" customWidth="1"/>
    <col min="3073" max="3073" width="15.6640625" style="500" customWidth="1"/>
    <col min="3074" max="3074" width="14.33203125" style="500" customWidth="1"/>
    <col min="3075" max="3075" width="15.6640625" style="500" customWidth="1"/>
    <col min="3076" max="3076" width="16.109375" style="500" customWidth="1"/>
    <col min="3077" max="3077" width="14.88671875" style="500" customWidth="1"/>
    <col min="3078" max="3078" width="16.6640625" style="500" customWidth="1"/>
    <col min="3079" max="3085" width="0" style="500" hidden="1" customWidth="1"/>
    <col min="3086" max="3317" width="9.109375" style="500"/>
    <col min="3318" max="3318" width="4.33203125" style="500" customWidth="1"/>
    <col min="3319" max="3319" width="5.5546875" style="500" customWidth="1"/>
    <col min="3320" max="3320" width="1.6640625" style="500" customWidth="1"/>
    <col min="3321" max="3324" width="10.5546875" style="500" customWidth="1"/>
    <col min="3325" max="3325" width="13" style="500" customWidth="1"/>
    <col min="3326" max="3326" width="9.6640625" style="500" customWidth="1"/>
    <col min="3327" max="3327" width="9.44140625" style="500" customWidth="1"/>
    <col min="3328" max="3328" width="6.6640625" style="500" customWidth="1"/>
    <col min="3329" max="3329" width="15.6640625" style="500" customWidth="1"/>
    <col min="3330" max="3330" width="14.33203125" style="500" customWidth="1"/>
    <col min="3331" max="3331" width="15.6640625" style="500" customWidth="1"/>
    <col min="3332" max="3332" width="16.109375" style="500" customWidth="1"/>
    <col min="3333" max="3333" width="14.88671875" style="500" customWidth="1"/>
    <col min="3334" max="3334" width="16.6640625" style="500" customWidth="1"/>
    <col min="3335" max="3341" width="0" style="500" hidden="1" customWidth="1"/>
    <col min="3342" max="3573" width="9.109375" style="500"/>
    <col min="3574" max="3574" width="4.33203125" style="500" customWidth="1"/>
    <col min="3575" max="3575" width="5.5546875" style="500" customWidth="1"/>
    <col min="3576" max="3576" width="1.6640625" style="500" customWidth="1"/>
    <col min="3577" max="3580" width="10.5546875" style="500" customWidth="1"/>
    <col min="3581" max="3581" width="13" style="500" customWidth="1"/>
    <col min="3582" max="3582" width="9.6640625" style="500" customWidth="1"/>
    <col min="3583" max="3583" width="9.44140625" style="500" customWidth="1"/>
    <col min="3584" max="3584" width="6.6640625" style="500" customWidth="1"/>
    <col min="3585" max="3585" width="15.6640625" style="500" customWidth="1"/>
    <col min="3586" max="3586" width="14.33203125" style="500" customWidth="1"/>
    <col min="3587" max="3587" width="15.6640625" style="500" customWidth="1"/>
    <col min="3588" max="3588" width="16.109375" style="500" customWidth="1"/>
    <col min="3589" max="3589" width="14.88671875" style="500" customWidth="1"/>
    <col min="3590" max="3590" width="16.6640625" style="500" customWidth="1"/>
    <col min="3591" max="3597" width="0" style="500" hidden="1" customWidth="1"/>
    <col min="3598" max="3829" width="9.109375" style="500"/>
    <col min="3830" max="3830" width="4.33203125" style="500" customWidth="1"/>
    <col min="3831" max="3831" width="5.5546875" style="500" customWidth="1"/>
    <col min="3832" max="3832" width="1.6640625" style="500" customWidth="1"/>
    <col min="3833" max="3836" width="10.5546875" style="500" customWidth="1"/>
    <col min="3837" max="3837" width="13" style="500" customWidth="1"/>
    <col min="3838" max="3838" width="9.6640625" style="500" customWidth="1"/>
    <col min="3839" max="3839" width="9.44140625" style="500" customWidth="1"/>
    <col min="3840" max="3840" width="6.6640625" style="500" customWidth="1"/>
    <col min="3841" max="3841" width="15.6640625" style="500" customWidth="1"/>
    <col min="3842" max="3842" width="14.33203125" style="500" customWidth="1"/>
    <col min="3843" max="3843" width="15.6640625" style="500" customWidth="1"/>
    <col min="3844" max="3844" width="16.109375" style="500" customWidth="1"/>
    <col min="3845" max="3845" width="14.88671875" style="500" customWidth="1"/>
    <col min="3846" max="3846" width="16.6640625" style="500" customWidth="1"/>
    <col min="3847" max="3853" width="0" style="500" hidden="1" customWidth="1"/>
    <col min="3854" max="4085" width="9.109375" style="500"/>
    <col min="4086" max="4086" width="4.33203125" style="500" customWidth="1"/>
    <col min="4087" max="4087" width="5.5546875" style="500" customWidth="1"/>
    <col min="4088" max="4088" width="1.6640625" style="500" customWidth="1"/>
    <col min="4089" max="4092" width="10.5546875" style="500" customWidth="1"/>
    <col min="4093" max="4093" width="13" style="500" customWidth="1"/>
    <col min="4094" max="4094" width="9.6640625" style="500" customWidth="1"/>
    <col min="4095" max="4095" width="9.44140625" style="500" customWidth="1"/>
    <col min="4096" max="4096" width="6.6640625" style="500" customWidth="1"/>
    <col min="4097" max="4097" width="15.6640625" style="500" customWidth="1"/>
    <col min="4098" max="4098" width="14.33203125" style="500" customWidth="1"/>
    <col min="4099" max="4099" width="15.6640625" style="500" customWidth="1"/>
    <col min="4100" max="4100" width="16.109375" style="500" customWidth="1"/>
    <col min="4101" max="4101" width="14.88671875" style="500" customWidth="1"/>
    <col min="4102" max="4102" width="16.6640625" style="500" customWidth="1"/>
    <col min="4103" max="4109" width="0" style="500" hidden="1" customWidth="1"/>
    <col min="4110" max="4341" width="9.109375" style="500"/>
    <col min="4342" max="4342" width="4.33203125" style="500" customWidth="1"/>
    <col min="4343" max="4343" width="5.5546875" style="500" customWidth="1"/>
    <col min="4344" max="4344" width="1.6640625" style="500" customWidth="1"/>
    <col min="4345" max="4348" width="10.5546875" style="500" customWidth="1"/>
    <col min="4349" max="4349" width="13" style="500" customWidth="1"/>
    <col min="4350" max="4350" width="9.6640625" style="500" customWidth="1"/>
    <col min="4351" max="4351" width="9.44140625" style="500" customWidth="1"/>
    <col min="4352" max="4352" width="6.6640625" style="500" customWidth="1"/>
    <col min="4353" max="4353" width="15.6640625" style="500" customWidth="1"/>
    <col min="4354" max="4354" width="14.33203125" style="500" customWidth="1"/>
    <col min="4355" max="4355" width="15.6640625" style="500" customWidth="1"/>
    <col min="4356" max="4356" width="16.109375" style="500" customWidth="1"/>
    <col min="4357" max="4357" width="14.88671875" style="500" customWidth="1"/>
    <col min="4358" max="4358" width="16.6640625" style="500" customWidth="1"/>
    <col min="4359" max="4365" width="0" style="500" hidden="1" customWidth="1"/>
    <col min="4366" max="4597" width="9.109375" style="500"/>
    <col min="4598" max="4598" width="4.33203125" style="500" customWidth="1"/>
    <col min="4599" max="4599" width="5.5546875" style="500" customWidth="1"/>
    <col min="4600" max="4600" width="1.6640625" style="500" customWidth="1"/>
    <col min="4601" max="4604" width="10.5546875" style="500" customWidth="1"/>
    <col min="4605" max="4605" width="13" style="500" customWidth="1"/>
    <col min="4606" max="4606" width="9.6640625" style="500" customWidth="1"/>
    <col min="4607" max="4607" width="9.44140625" style="500" customWidth="1"/>
    <col min="4608" max="4608" width="6.6640625" style="500" customWidth="1"/>
    <col min="4609" max="4609" width="15.6640625" style="500" customWidth="1"/>
    <col min="4610" max="4610" width="14.33203125" style="500" customWidth="1"/>
    <col min="4611" max="4611" width="15.6640625" style="500" customWidth="1"/>
    <col min="4612" max="4612" width="16.109375" style="500" customWidth="1"/>
    <col min="4613" max="4613" width="14.88671875" style="500" customWidth="1"/>
    <col min="4614" max="4614" width="16.6640625" style="500" customWidth="1"/>
    <col min="4615" max="4621" width="0" style="500" hidden="1" customWidth="1"/>
    <col min="4622" max="4853" width="9.109375" style="500"/>
    <col min="4854" max="4854" width="4.33203125" style="500" customWidth="1"/>
    <col min="4855" max="4855" width="5.5546875" style="500" customWidth="1"/>
    <col min="4856" max="4856" width="1.6640625" style="500" customWidth="1"/>
    <col min="4857" max="4860" width="10.5546875" style="500" customWidth="1"/>
    <col min="4861" max="4861" width="13" style="500" customWidth="1"/>
    <col min="4862" max="4862" width="9.6640625" style="500" customWidth="1"/>
    <col min="4863" max="4863" width="9.44140625" style="500" customWidth="1"/>
    <col min="4864" max="4864" width="6.6640625" style="500" customWidth="1"/>
    <col min="4865" max="4865" width="15.6640625" style="500" customWidth="1"/>
    <col min="4866" max="4866" width="14.33203125" style="500" customWidth="1"/>
    <col min="4867" max="4867" width="15.6640625" style="500" customWidth="1"/>
    <col min="4868" max="4868" width="16.109375" style="500" customWidth="1"/>
    <col min="4869" max="4869" width="14.88671875" style="500" customWidth="1"/>
    <col min="4870" max="4870" width="16.6640625" style="500" customWidth="1"/>
    <col min="4871" max="4877" width="0" style="500" hidden="1" customWidth="1"/>
    <col min="4878" max="5109" width="9.109375" style="500"/>
    <col min="5110" max="5110" width="4.33203125" style="500" customWidth="1"/>
    <col min="5111" max="5111" width="5.5546875" style="500" customWidth="1"/>
    <col min="5112" max="5112" width="1.6640625" style="500" customWidth="1"/>
    <col min="5113" max="5116" width="10.5546875" style="500" customWidth="1"/>
    <col min="5117" max="5117" width="13" style="500" customWidth="1"/>
    <col min="5118" max="5118" width="9.6640625" style="500" customWidth="1"/>
    <col min="5119" max="5119" width="9.44140625" style="500" customWidth="1"/>
    <col min="5120" max="5120" width="6.6640625" style="500" customWidth="1"/>
    <col min="5121" max="5121" width="15.6640625" style="500" customWidth="1"/>
    <col min="5122" max="5122" width="14.33203125" style="500" customWidth="1"/>
    <col min="5123" max="5123" width="15.6640625" style="500" customWidth="1"/>
    <col min="5124" max="5124" width="16.109375" style="500" customWidth="1"/>
    <col min="5125" max="5125" width="14.88671875" style="500" customWidth="1"/>
    <col min="5126" max="5126" width="16.6640625" style="500" customWidth="1"/>
    <col min="5127" max="5133" width="0" style="500" hidden="1" customWidth="1"/>
    <col min="5134" max="5365" width="9.109375" style="500"/>
    <col min="5366" max="5366" width="4.33203125" style="500" customWidth="1"/>
    <col min="5367" max="5367" width="5.5546875" style="500" customWidth="1"/>
    <col min="5368" max="5368" width="1.6640625" style="500" customWidth="1"/>
    <col min="5369" max="5372" width="10.5546875" style="500" customWidth="1"/>
    <col min="5373" max="5373" width="13" style="500" customWidth="1"/>
    <col min="5374" max="5374" width="9.6640625" style="500" customWidth="1"/>
    <col min="5375" max="5375" width="9.44140625" style="500" customWidth="1"/>
    <col min="5376" max="5376" width="6.6640625" style="500" customWidth="1"/>
    <col min="5377" max="5377" width="15.6640625" style="500" customWidth="1"/>
    <col min="5378" max="5378" width="14.33203125" style="500" customWidth="1"/>
    <col min="5379" max="5379" width="15.6640625" style="500" customWidth="1"/>
    <col min="5380" max="5380" width="16.109375" style="500" customWidth="1"/>
    <col min="5381" max="5381" width="14.88671875" style="500" customWidth="1"/>
    <col min="5382" max="5382" width="16.6640625" style="500" customWidth="1"/>
    <col min="5383" max="5389" width="0" style="500" hidden="1" customWidth="1"/>
    <col min="5390" max="5621" width="9.109375" style="500"/>
    <col min="5622" max="5622" width="4.33203125" style="500" customWidth="1"/>
    <col min="5623" max="5623" width="5.5546875" style="500" customWidth="1"/>
    <col min="5624" max="5624" width="1.6640625" style="500" customWidth="1"/>
    <col min="5625" max="5628" width="10.5546875" style="500" customWidth="1"/>
    <col min="5629" max="5629" width="13" style="500" customWidth="1"/>
    <col min="5630" max="5630" width="9.6640625" style="500" customWidth="1"/>
    <col min="5631" max="5631" width="9.44140625" style="500" customWidth="1"/>
    <col min="5632" max="5632" width="6.6640625" style="500" customWidth="1"/>
    <col min="5633" max="5633" width="15.6640625" style="500" customWidth="1"/>
    <col min="5634" max="5634" width="14.33203125" style="500" customWidth="1"/>
    <col min="5635" max="5635" width="15.6640625" style="500" customWidth="1"/>
    <col min="5636" max="5636" width="16.109375" style="500" customWidth="1"/>
    <col min="5637" max="5637" width="14.88671875" style="500" customWidth="1"/>
    <col min="5638" max="5638" width="16.6640625" style="500" customWidth="1"/>
    <col min="5639" max="5645" width="0" style="500" hidden="1" customWidth="1"/>
    <col min="5646" max="5877" width="9.109375" style="500"/>
    <col min="5878" max="5878" width="4.33203125" style="500" customWidth="1"/>
    <col min="5879" max="5879" width="5.5546875" style="500" customWidth="1"/>
    <col min="5880" max="5880" width="1.6640625" style="500" customWidth="1"/>
    <col min="5881" max="5884" width="10.5546875" style="500" customWidth="1"/>
    <col min="5885" max="5885" width="13" style="500" customWidth="1"/>
    <col min="5886" max="5886" width="9.6640625" style="500" customWidth="1"/>
    <col min="5887" max="5887" width="9.44140625" style="500" customWidth="1"/>
    <col min="5888" max="5888" width="6.6640625" style="500" customWidth="1"/>
    <col min="5889" max="5889" width="15.6640625" style="500" customWidth="1"/>
    <col min="5890" max="5890" width="14.33203125" style="500" customWidth="1"/>
    <col min="5891" max="5891" width="15.6640625" style="500" customWidth="1"/>
    <col min="5892" max="5892" width="16.109375" style="500" customWidth="1"/>
    <col min="5893" max="5893" width="14.88671875" style="500" customWidth="1"/>
    <col min="5894" max="5894" width="16.6640625" style="500" customWidth="1"/>
    <col min="5895" max="5901" width="0" style="500" hidden="1" customWidth="1"/>
    <col min="5902" max="6133" width="9.109375" style="500"/>
    <col min="6134" max="6134" width="4.33203125" style="500" customWidth="1"/>
    <col min="6135" max="6135" width="5.5546875" style="500" customWidth="1"/>
    <col min="6136" max="6136" width="1.6640625" style="500" customWidth="1"/>
    <col min="6137" max="6140" width="10.5546875" style="500" customWidth="1"/>
    <col min="6141" max="6141" width="13" style="500" customWidth="1"/>
    <col min="6142" max="6142" width="9.6640625" style="500" customWidth="1"/>
    <col min="6143" max="6143" width="9.44140625" style="500" customWidth="1"/>
    <col min="6144" max="6144" width="6.6640625" style="500" customWidth="1"/>
    <col min="6145" max="6145" width="15.6640625" style="500" customWidth="1"/>
    <col min="6146" max="6146" width="14.33203125" style="500" customWidth="1"/>
    <col min="6147" max="6147" width="15.6640625" style="500" customWidth="1"/>
    <col min="6148" max="6148" width="16.109375" style="500" customWidth="1"/>
    <col min="6149" max="6149" width="14.88671875" style="500" customWidth="1"/>
    <col min="6150" max="6150" width="16.6640625" style="500" customWidth="1"/>
    <col min="6151" max="6157" width="0" style="500" hidden="1" customWidth="1"/>
    <col min="6158" max="6389" width="9.109375" style="500"/>
    <col min="6390" max="6390" width="4.33203125" style="500" customWidth="1"/>
    <col min="6391" max="6391" width="5.5546875" style="500" customWidth="1"/>
    <col min="6392" max="6392" width="1.6640625" style="500" customWidth="1"/>
    <col min="6393" max="6396" width="10.5546875" style="500" customWidth="1"/>
    <col min="6397" max="6397" width="13" style="500" customWidth="1"/>
    <col min="6398" max="6398" width="9.6640625" style="500" customWidth="1"/>
    <col min="6399" max="6399" width="9.44140625" style="500" customWidth="1"/>
    <col min="6400" max="6400" width="6.6640625" style="500" customWidth="1"/>
    <col min="6401" max="6401" width="15.6640625" style="500" customWidth="1"/>
    <col min="6402" max="6402" width="14.33203125" style="500" customWidth="1"/>
    <col min="6403" max="6403" width="15.6640625" style="500" customWidth="1"/>
    <col min="6404" max="6404" width="16.109375" style="500" customWidth="1"/>
    <col min="6405" max="6405" width="14.88671875" style="500" customWidth="1"/>
    <col min="6406" max="6406" width="16.6640625" style="500" customWidth="1"/>
    <col min="6407" max="6413" width="0" style="500" hidden="1" customWidth="1"/>
    <col min="6414" max="6645" width="9.109375" style="500"/>
    <col min="6646" max="6646" width="4.33203125" style="500" customWidth="1"/>
    <col min="6647" max="6647" width="5.5546875" style="500" customWidth="1"/>
    <col min="6648" max="6648" width="1.6640625" style="500" customWidth="1"/>
    <col min="6649" max="6652" width="10.5546875" style="500" customWidth="1"/>
    <col min="6653" max="6653" width="13" style="500" customWidth="1"/>
    <col min="6654" max="6654" width="9.6640625" style="500" customWidth="1"/>
    <col min="6655" max="6655" width="9.44140625" style="500" customWidth="1"/>
    <col min="6656" max="6656" width="6.6640625" style="500" customWidth="1"/>
    <col min="6657" max="6657" width="15.6640625" style="500" customWidth="1"/>
    <col min="6658" max="6658" width="14.33203125" style="500" customWidth="1"/>
    <col min="6659" max="6659" width="15.6640625" style="500" customWidth="1"/>
    <col min="6660" max="6660" width="16.109375" style="500" customWidth="1"/>
    <col min="6661" max="6661" width="14.88671875" style="500" customWidth="1"/>
    <col min="6662" max="6662" width="16.6640625" style="500" customWidth="1"/>
    <col min="6663" max="6669" width="0" style="500" hidden="1" customWidth="1"/>
    <col min="6670" max="6901" width="9.109375" style="500"/>
    <col min="6902" max="6902" width="4.33203125" style="500" customWidth="1"/>
    <col min="6903" max="6903" width="5.5546875" style="500" customWidth="1"/>
    <col min="6904" max="6904" width="1.6640625" style="500" customWidth="1"/>
    <col min="6905" max="6908" width="10.5546875" style="500" customWidth="1"/>
    <col min="6909" max="6909" width="13" style="500" customWidth="1"/>
    <col min="6910" max="6910" width="9.6640625" style="500" customWidth="1"/>
    <col min="6911" max="6911" width="9.44140625" style="500" customWidth="1"/>
    <col min="6912" max="6912" width="6.6640625" style="500" customWidth="1"/>
    <col min="6913" max="6913" width="15.6640625" style="500" customWidth="1"/>
    <col min="6914" max="6914" width="14.33203125" style="500" customWidth="1"/>
    <col min="6915" max="6915" width="15.6640625" style="500" customWidth="1"/>
    <col min="6916" max="6916" width="16.109375" style="500" customWidth="1"/>
    <col min="6917" max="6917" width="14.88671875" style="500" customWidth="1"/>
    <col min="6918" max="6918" width="16.6640625" style="500" customWidth="1"/>
    <col min="6919" max="6925" width="0" style="500" hidden="1" customWidth="1"/>
    <col min="6926" max="7157" width="9.109375" style="500"/>
    <col min="7158" max="7158" width="4.33203125" style="500" customWidth="1"/>
    <col min="7159" max="7159" width="5.5546875" style="500" customWidth="1"/>
    <col min="7160" max="7160" width="1.6640625" style="500" customWidth="1"/>
    <col min="7161" max="7164" width="10.5546875" style="500" customWidth="1"/>
    <col min="7165" max="7165" width="13" style="500" customWidth="1"/>
    <col min="7166" max="7166" width="9.6640625" style="500" customWidth="1"/>
    <col min="7167" max="7167" width="9.44140625" style="500" customWidth="1"/>
    <col min="7168" max="7168" width="6.6640625" style="500" customWidth="1"/>
    <col min="7169" max="7169" width="15.6640625" style="500" customWidth="1"/>
    <col min="7170" max="7170" width="14.33203125" style="500" customWidth="1"/>
    <col min="7171" max="7171" width="15.6640625" style="500" customWidth="1"/>
    <col min="7172" max="7172" width="16.109375" style="500" customWidth="1"/>
    <col min="7173" max="7173" width="14.88671875" style="500" customWidth="1"/>
    <col min="7174" max="7174" width="16.6640625" style="500" customWidth="1"/>
    <col min="7175" max="7181" width="0" style="500" hidden="1" customWidth="1"/>
    <col min="7182" max="7413" width="9.109375" style="500"/>
    <col min="7414" max="7414" width="4.33203125" style="500" customWidth="1"/>
    <col min="7415" max="7415" width="5.5546875" style="500" customWidth="1"/>
    <col min="7416" max="7416" width="1.6640625" style="500" customWidth="1"/>
    <col min="7417" max="7420" width="10.5546875" style="500" customWidth="1"/>
    <col min="7421" max="7421" width="13" style="500" customWidth="1"/>
    <col min="7422" max="7422" width="9.6640625" style="500" customWidth="1"/>
    <col min="7423" max="7423" width="9.44140625" style="500" customWidth="1"/>
    <col min="7424" max="7424" width="6.6640625" style="500" customWidth="1"/>
    <col min="7425" max="7425" width="15.6640625" style="500" customWidth="1"/>
    <col min="7426" max="7426" width="14.33203125" style="500" customWidth="1"/>
    <col min="7427" max="7427" width="15.6640625" style="500" customWidth="1"/>
    <col min="7428" max="7428" width="16.109375" style="500" customWidth="1"/>
    <col min="7429" max="7429" width="14.88671875" style="500" customWidth="1"/>
    <col min="7430" max="7430" width="16.6640625" style="500" customWidth="1"/>
    <col min="7431" max="7437" width="0" style="500" hidden="1" customWidth="1"/>
    <col min="7438" max="7669" width="9.109375" style="500"/>
    <col min="7670" max="7670" width="4.33203125" style="500" customWidth="1"/>
    <col min="7671" max="7671" width="5.5546875" style="500" customWidth="1"/>
    <col min="7672" max="7672" width="1.6640625" style="500" customWidth="1"/>
    <col min="7673" max="7676" width="10.5546875" style="500" customWidth="1"/>
    <col min="7677" max="7677" width="13" style="500" customWidth="1"/>
    <col min="7678" max="7678" width="9.6640625" style="500" customWidth="1"/>
    <col min="7679" max="7679" width="9.44140625" style="500" customWidth="1"/>
    <col min="7680" max="7680" width="6.6640625" style="500" customWidth="1"/>
    <col min="7681" max="7681" width="15.6640625" style="500" customWidth="1"/>
    <col min="7682" max="7682" width="14.33203125" style="500" customWidth="1"/>
    <col min="7683" max="7683" width="15.6640625" style="500" customWidth="1"/>
    <col min="7684" max="7684" width="16.109375" style="500" customWidth="1"/>
    <col min="7685" max="7685" width="14.88671875" style="500" customWidth="1"/>
    <col min="7686" max="7686" width="16.6640625" style="500" customWidth="1"/>
    <col min="7687" max="7693" width="0" style="500" hidden="1" customWidth="1"/>
    <col min="7694" max="7925" width="9.109375" style="500"/>
    <col min="7926" max="7926" width="4.33203125" style="500" customWidth="1"/>
    <col min="7927" max="7927" width="5.5546875" style="500" customWidth="1"/>
    <col min="7928" max="7928" width="1.6640625" style="500" customWidth="1"/>
    <col min="7929" max="7932" width="10.5546875" style="500" customWidth="1"/>
    <col min="7933" max="7933" width="13" style="500" customWidth="1"/>
    <col min="7934" max="7934" width="9.6640625" style="500" customWidth="1"/>
    <col min="7935" max="7935" width="9.44140625" style="500" customWidth="1"/>
    <col min="7936" max="7936" width="6.6640625" style="500" customWidth="1"/>
    <col min="7937" max="7937" width="15.6640625" style="500" customWidth="1"/>
    <col min="7938" max="7938" width="14.33203125" style="500" customWidth="1"/>
    <col min="7939" max="7939" width="15.6640625" style="500" customWidth="1"/>
    <col min="7940" max="7940" width="16.109375" style="500" customWidth="1"/>
    <col min="7941" max="7941" width="14.88671875" style="500" customWidth="1"/>
    <col min="7942" max="7942" width="16.6640625" style="500" customWidth="1"/>
    <col min="7943" max="7949" width="0" style="500" hidden="1" customWidth="1"/>
    <col min="7950" max="8181" width="9.109375" style="500"/>
    <col min="8182" max="8182" width="4.33203125" style="500" customWidth="1"/>
    <col min="8183" max="8183" width="5.5546875" style="500" customWidth="1"/>
    <col min="8184" max="8184" width="1.6640625" style="500" customWidth="1"/>
    <col min="8185" max="8188" width="10.5546875" style="500" customWidth="1"/>
    <col min="8189" max="8189" width="13" style="500" customWidth="1"/>
    <col min="8190" max="8190" width="9.6640625" style="500" customWidth="1"/>
    <col min="8191" max="8191" width="9.44140625" style="500" customWidth="1"/>
    <col min="8192" max="8192" width="6.6640625" style="500" customWidth="1"/>
    <col min="8193" max="8193" width="15.6640625" style="500" customWidth="1"/>
    <col min="8194" max="8194" width="14.33203125" style="500" customWidth="1"/>
    <col min="8195" max="8195" width="15.6640625" style="500" customWidth="1"/>
    <col min="8196" max="8196" width="16.109375" style="500" customWidth="1"/>
    <col min="8197" max="8197" width="14.88671875" style="500" customWidth="1"/>
    <col min="8198" max="8198" width="16.6640625" style="500" customWidth="1"/>
    <col min="8199" max="8205" width="0" style="500" hidden="1" customWidth="1"/>
    <col min="8206" max="8437" width="9.109375" style="500"/>
    <col min="8438" max="8438" width="4.33203125" style="500" customWidth="1"/>
    <col min="8439" max="8439" width="5.5546875" style="500" customWidth="1"/>
    <col min="8440" max="8440" width="1.6640625" style="500" customWidth="1"/>
    <col min="8441" max="8444" width="10.5546875" style="500" customWidth="1"/>
    <col min="8445" max="8445" width="13" style="500" customWidth="1"/>
    <col min="8446" max="8446" width="9.6640625" style="500" customWidth="1"/>
    <col min="8447" max="8447" width="9.44140625" style="500" customWidth="1"/>
    <col min="8448" max="8448" width="6.6640625" style="500" customWidth="1"/>
    <col min="8449" max="8449" width="15.6640625" style="500" customWidth="1"/>
    <col min="8450" max="8450" width="14.33203125" style="500" customWidth="1"/>
    <col min="8451" max="8451" width="15.6640625" style="500" customWidth="1"/>
    <col min="8452" max="8452" width="16.109375" style="500" customWidth="1"/>
    <col min="8453" max="8453" width="14.88671875" style="500" customWidth="1"/>
    <col min="8454" max="8454" width="16.6640625" style="500" customWidth="1"/>
    <col min="8455" max="8461" width="0" style="500" hidden="1" customWidth="1"/>
    <col min="8462" max="8693" width="9.109375" style="500"/>
    <col min="8694" max="8694" width="4.33203125" style="500" customWidth="1"/>
    <col min="8695" max="8695" width="5.5546875" style="500" customWidth="1"/>
    <col min="8696" max="8696" width="1.6640625" style="500" customWidth="1"/>
    <col min="8697" max="8700" width="10.5546875" style="500" customWidth="1"/>
    <col min="8701" max="8701" width="13" style="500" customWidth="1"/>
    <col min="8702" max="8702" width="9.6640625" style="500" customWidth="1"/>
    <col min="8703" max="8703" width="9.44140625" style="500" customWidth="1"/>
    <col min="8704" max="8704" width="6.6640625" style="500" customWidth="1"/>
    <col min="8705" max="8705" width="15.6640625" style="500" customWidth="1"/>
    <col min="8706" max="8706" width="14.33203125" style="500" customWidth="1"/>
    <col min="8707" max="8707" width="15.6640625" style="500" customWidth="1"/>
    <col min="8708" max="8708" width="16.109375" style="500" customWidth="1"/>
    <col min="8709" max="8709" width="14.88671875" style="500" customWidth="1"/>
    <col min="8710" max="8710" width="16.6640625" style="500" customWidth="1"/>
    <col min="8711" max="8717" width="0" style="500" hidden="1" customWidth="1"/>
    <col min="8718" max="8949" width="9.109375" style="500"/>
    <col min="8950" max="8950" width="4.33203125" style="500" customWidth="1"/>
    <col min="8951" max="8951" width="5.5546875" style="500" customWidth="1"/>
    <col min="8952" max="8952" width="1.6640625" style="500" customWidth="1"/>
    <col min="8953" max="8956" width="10.5546875" style="500" customWidth="1"/>
    <col min="8957" max="8957" width="13" style="500" customWidth="1"/>
    <col min="8958" max="8958" width="9.6640625" style="500" customWidth="1"/>
    <col min="8959" max="8959" width="9.44140625" style="500" customWidth="1"/>
    <col min="8960" max="8960" width="6.6640625" style="500" customWidth="1"/>
    <col min="8961" max="8961" width="15.6640625" style="500" customWidth="1"/>
    <col min="8962" max="8962" width="14.33203125" style="500" customWidth="1"/>
    <col min="8963" max="8963" width="15.6640625" style="500" customWidth="1"/>
    <col min="8964" max="8964" width="16.109375" style="500" customWidth="1"/>
    <col min="8965" max="8965" width="14.88671875" style="500" customWidth="1"/>
    <col min="8966" max="8966" width="16.6640625" style="500" customWidth="1"/>
    <col min="8967" max="8973" width="0" style="500" hidden="1" customWidth="1"/>
    <col min="8974" max="9205" width="9.109375" style="500"/>
    <col min="9206" max="9206" width="4.33203125" style="500" customWidth="1"/>
    <col min="9207" max="9207" width="5.5546875" style="500" customWidth="1"/>
    <col min="9208" max="9208" width="1.6640625" style="500" customWidth="1"/>
    <col min="9209" max="9212" width="10.5546875" style="500" customWidth="1"/>
    <col min="9213" max="9213" width="13" style="500" customWidth="1"/>
    <col min="9214" max="9214" width="9.6640625" style="500" customWidth="1"/>
    <col min="9215" max="9215" width="9.44140625" style="500" customWidth="1"/>
    <col min="9216" max="9216" width="6.6640625" style="500" customWidth="1"/>
    <col min="9217" max="9217" width="15.6640625" style="500" customWidth="1"/>
    <col min="9218" max="9218" width="14.33203125" style="500" customWidth="1"/>
    <col min="9219" max="9219" width="15.6640625" style="500" customWidth="1"/>
    <col min="9220" max="9220" width="16.109375" style="500" customWidth="1"/>
    <col min="9221" max="9221" width="14.88671875" style="500" customWidth="1"/>
    <col min="9222" max="9222" width="16.6640625" style="500" customWidth="1"/>
    <col min="9223" max="9229" width="0" style="500" hidden="1" customWidth="1"/>
    <col min="9230" max="9461" width="9.109375" style="500"/>
    <col min="9462" max="9462" width="4.33203125" style="500" customWidth="1"/>
    <col min="9463" max="9463" width="5.5546875" style="500" customWidth="1"/>
    <col min="9464" max="9464" width="1.6640625" style="500" customWidth="1"/>
    <col min="9465" max="9468" width="10.5546875" style="500" customWidth="1"/>
    <col min="9469" max="9469" width="13" style="500" customWidth="1"/>
    <col min="9470" max="9470" width="9.6640625" style="500" customWidth="1"/>
    <col min="9471" max="9471" width="9.44140625" style="500" customWidth="1"/>
    <col min="9472" max="9472" width="6.6640625" style="500" customWidth="1"/>
    <col min="9473" max="9473" width="15.6640625" style="500" customWidth="1"/>
    <col min="9474" max="9474" width="14.33203125" style="500" customWidth="1"/>
    <col min="9475" max="9475" width="15.6640625" style="500" customWidth="1"/>
    <col min="9476" max="9476" width="16.109375" style="500" customWidth="1"/>
    <col min="9477" max="9477" width="14.88671875" style="500" customWidth="1"/>
    <col min="9478" max="9478" width="16.6640625" style="500" customWidth="1"/>
    <col min="9479" max="9485" width="0" style="500" hidden="1" customWidth="1"/>
    <col min="9486" max="9717" width="9.109375" style="500"/>
    <col min="9718" max="9718" width="4.33203125" style="500" customWidth="1"/>
    <col min="9719" max="9719" width="5.5546875" style="500" customWidth="1"/>
    <col min="9720" max="9720" width="1.6640625" style="500" customWidth="1"/>
    <col min="9721" max="9724" width="10.5546875" style="500" customWidth="1"/>
    <col min="9725" max="9725" width="13" style="500" customWidth="1"/>
    <col min="9726" max="9726" width="9.6640625" style="500" customWidth="1"/>
    <col min="9727" max="9727" width="9.44140625" style="500" customWidth="1"/>
    <col min="9728" max="9728" width="6.6640625" style="500" customWidth="1"/>
    <col min="9729" max="9729" width="15.6640625" style="500" customWidth="1"/>
    <col min="9730" max="9730" width="14.33203125" style="500" customWidth="1"/>
    <col min="9731" max="9731" width="15.6640625" style="500" customWidth="1"/>
    <col min="9732" max="9732" width="16.109375" style="500" customWidth="1"/>
    <col min="9733" max="9733" width="14.88671875" style="500" customWidth="1"/>
    <col min="9734" max="9734" width="16.6640625" style="500" customWidth="1"/>
    <col min="9735" max="9741" width="0" style="500" hidden="1" customWidth="1"/>
    <col min="9742" max="9973" width="9.109375" style="500"/>
    <col min="9974" max="9974" width="4.33203125" style="500" customWidth="1"/>
    <col min="9975" max="9975" width="5.5546875" style="500" customWidth="1"/>
    <col min="9976" max="9976" width="1.6640625" style="500" customWidth="1"/>
    <col min="9977" max="9980" width="10.5546875" style="500" customWidth="1"/>
    <col min="9981" max="9981" width="13" style="500" customWidth="1"/>
    <col min="9982" max="9982" width="9.6640625" style="500" customWidth="1"/>
    <col min="9983" max="9983" width="9.44140625" style="500" customWidth="1"/>
    <col min="9984" max="9984" width="6.6640625" style="500" customWidth="1"/>
    <col min="9985" max="9985" width="15.6640625" style="500" customWidth="1"/>
    <col min="9986" max="9986" width="14.33203125" style="500" customWidth="1"/>
    <col min="9987" max="9987" width="15.6640625" style="500" customWidth="1"/>
    <col min="9988" max="9988" width="16.109375" style="500" customWidth="1"/>
    <col min="9989" max="9989" width="14.88671875" style="500" customWidth="1"/>
    <col min="9990" max="9990" width="16.6640625" style="500" customWidth="1"/>
    <col min="9991" max="9997" width="0" style="500" hidden="1" customWidth="1"/>
    <col min="9998" max="10229" width="9.109375" style="500"/>
    <col min="10230" max="10230" width="4.33203125" style="500" customWidth="1"/>
    <col min="10231" max="10231" width="5.5546875" style="500" customWidth="1"/>
    <col min="10232" max="10232" width="1.6640625" style="500" customWidth="1"/>
    <col min="10233" max="10236" width="10.5546875" style="500" customWidth="1"/>
    <col min="10237" max="10237" width="13" style="500" customWidth="1"/>
    <col min="10238" max="10238" width="9.6640625" style="500" customWidth="1"/>
    <col min="10239" max="10239" width="9.44140625" style="500" customWidth="1"/>
    <col min="10240" max="10240" width="6.6640625" style="500" customWidth="1"/>
    <col min="10241" max="10241" width="15.6640625" style="500" customWidth="1"/>
    <col min="10242" max="10242" width="14.33203125" style="500" customWidth="1"/>
    <col min="10243" max="10243" width="15.6640625" style="500" customWidth="1"/>
    <col min="10244" max="10244" width="16.109375" style="500" customWidth="1"/>
    <col min="10245" max="10245" width="14.88671875" style="500" customWidth="1"/>
    <col min="10246" max="10246" width="16.6640625" style="500" customWidth="1"/>
    <col min="10247" max="10253" width="0" style="500" hidden="1" customWidth="1"/>
    <col min="10254" max="10485" width="9.109375" style="500"/>
    <col min="10486" max="10486" width="4.33203125" style="500" customWidth="1"/>
    <col min="10487" max="10487" width="5.5546875" style="500" customWidth="1"/>
    <col min="10488" max="10488" width="1.6640625" style="500" customWidth="1"/>
    <col min="10489" max="10492" width="10.5546875" style="500" customWidth="1"/>
    <col min="10493" max="10493" width="13" style="500" customWidth="1"/>
    <col min="10494" max="10494" width="9.6640625" style="500" customWidth="1"/>
    <col min="10495" max="10495" width="9.44140625" style="500" customWidth="1"/>
    <col min="10496" max="10496" width="6.6640625" style="500" customWidth="1"/>
    <col min="10497" max="10497" width="15.6640625" style="500" customWidth="1"/>
    <col min="10498" max="10498" width="14.33203125" style="500" customWidth="1"/>
    <col min="10499" max="10499" width="15.6640625" style="500" customWidth="1"/>
    <col min="10500" max="10500" width="16.109375" style="500" customWidth="1"/>
    <col min="10501" max="10501" width="14.88671875" style="500" customWidth="1"/>
    <col min="10502" max="10502" width="16.6640625" style="500" customWidth="1"/>
    <col min="10503" max="10509" width="0" style="500" hidden="1" customWidth="1"/>
    <col min="10510" max="10741" width="9.109375" style="500"/>
    <col min="10742" max="10742" width="4.33203125" style="500" customWidth="1"/>
    <col min="10743" max="10743" width="5.5546875" style="500" customWidth="1"/>
    <col min="10744" max="10744" width="1.6640625" style="500" customWidth="1"/>
    <col min="10745" max="10748" width="10.5546875" style="500" customWidth="1"/>
    <col min="10749" max="10749" width="13" style="500" customWidth="1"/>
    <col min="10750" max="10750" width="9.6640625" style="500" customWidth="1"/>
    <col min="10751" max="10751" width="9.44140625" style="500" customWidth="1"/>
    <col min="10752" max="10752" width="6.6640625" style="500" customWidth="1"/>
    <col min="10753" max="10753" width="15.6640625" style="500" customWidth="1"/>
    <col min="10754" max="10754" width="14.33203125" style="500" customWidth="1"/>
    <col min="10755" max="10755" width="15.6640625" style="500" customWidth="1"/>
    <col min="10756" max="10756" width="16.109375" style="500" customWidth="1"/>
    <col min="10757" max="10757" width="14.88671875" style="500" customWidth="1"/>
    <col min="10758" max="10758" width="16.6640625" style="500" customWidth="1"/>
    <col min="10759" max="10765" width="0" style="500" hidden="1" customWidth="1"/>
    <col min="10766" max="10997" width="9.109375" style="500"/>
    <col min="10998" max="10998" width="4.33203125" style="500" customWidth="1"/>
    <col min="10999" max="10999" width="5.5546875" style="500" customWidth="1"/>
    <col min="11000" max="11000" width="1.6640625" style="500" customWidth="1"/>
    <col min="11001" max="11004" width="10.5546875" style="500" customWidth="1"/>
    <col min="11005" max="11005" width="13" style="500" customWidth="1"/>
    <col min="11006" max="11006" width="9.6640625" style="500" customWidth="1"/>
    <col min="11007" max="11007" width="9.44140625" style="500" customWidth="1"/>
    <col min="11008" max="11008" width="6.6640625" style="500" customWidth="1"/>
    <col min="11009" max="11009" width="15.6640625" style="500" customWidth="1"/>
    <col min="11010" max="11010" width="14.33203125" style="500" customWidth="1"/>
    <col min="11011" max="11011" width="15.6640625" style="500" customWidth="1"/>
    <col min="11012" max="11012" width="16.109375" style="500" customWidth="1"/>
    <col min="11013" max="11013" width="14.88671875" style="500" customWidth="1"/>
    <col min="11014" max="11014" width="16.6640625" style="500" customWidth="1"/>
    <col min="11015" max="11021" width="0" style="500" hidden="1" customWidth="1"/>
    <col min="11022" max="11253" width="9.109375" style="500"/>
    <col min="11254" max="11254" width="4.33203125" style="500" customWidth="1"/>
    <col min="11255" max="11255" width="5.5546875" style="500" customWidth="1"/>
    <col min="11256" max="11256" width="1.6640625" style="500" customWidth="1"/>
    <col min="11257" max="11260" width="10.5546875" style="500" customWidth="1"/>
    <col min="11261" max="11261" width="13" style="500" customWidth="1"/>
    <col min="11262" max="11262" width="9.6640625" style="500" customWidth="1"/>
    <col min="11263" max="11263" width="9.44140625" style="500" customWidth="1"/>
    <col min="11264" max="11264" width="6.6640625" style="500" customWidth="1"/>
    <col min="11265" max="11265" width="15.6640625" style="500" customWidth="1"/>
    <col min="11266" max="11266" width="14.33203125" style="500" customWidth="1"/>
    <col min="11267" max="11267" width="15.6640625" style="500" customWidth="1"/>
    <col min="11268" max="11268" width="16.109375" style="500" customWidth="1"/>
    <col min="11269" max="11269" width="14.88671875" style="500" customWidth="1"/>
    <col min="11270" max="11270" width="16.6640625" style="500" customWidth="1"/>
    <col min="11271" max="11277" width="0" style="500" hidden="1" customWidth="1"/>
    <col min="11278" max="11509" width="9.109375" style="500"/>
    <col min="11510" max="11510" width="4.33203125" style="500" customWidth="1"/>
    <col min="11511" max="11511" width="5.5546875" style="500" customWidth="1"/>
    <col min="11512" max="11512" width="1.6640625" style="500" customWidth="1"/>
    <col min="11513" max="11516" width="10.5546875" style="500" customWidth="1"/>
    <col min="11517" max="11517" width="13" style="500" customWidth="1"/>
    <col min="11518" max="11518" width="9.6640625" style="500" customWidth="1"/>
    <col min="11519" max="11519" width="9.44140625" style="500" customWidth="1"/>
    <col min="11520" max="11520" width="6.6640625" style="500" customWidth="1"/>
    <col min="11521" max="11521" width="15.6640625" style="500" customWidth="1"/>
    <col min="11522" max="11522" width="14.33203125" style="500" customWidth="1"/>
    <col min="11523" max="11523" width="15.6640625" style="500" customWidth="1"/>
    <col min="11524" max="11524" width="16.109375" style="500" customWidth="1"/>
    <col min="11525" max="11525" width="14.88671875" style="500" customWidth="1"/>
    <col min="11526" max="11526" width="16.6640625" style="500" customWidth="1"/>
    <col min="11527" max="11533" width="0" style="500" hidden="1" customWidth="1"/>
    <col min="11534" max="11765" width="9.109375" style="500"/>
    <col min="11766" max="11766" width="4.33203125" style="500" customWidth="1"/>
    <col min="11767" max="11767" width="5.5546875" style="500" customWidth="1"/>
    <col min="11768" max="11768" width="1.6640625" style="500" customWidth="1"/>
    <col min="11769" max="11772" width="10.5546875" style="500" customWidth="1"/>
    <col min="11773" max="11773" width="13" style="500" customWidth="1"/>
    <col min="11774" max="11774" width="9.6640625" style="500" customWidth="1"/>
    <col min="11775" max="11775" width="9.44140625" style="500" customWidth="1"/>
    <col min="11776" max="11776" width="6.6640625" style="500" customWidth="1"/>
    <col min="11777" max="11777" width="15.6640625" style="500" customWidth="1"/>
    <col min="11778" max="11778" width="14.33203125" style="500" customWidth="1"/>
    <col min="11779" max="11779" width="15.6640625" style="500" customWidth="1"/>
    <col min="11780" max="11780" width="16.109375" style="500" customWidth="1"/>
    <col min="11781" max="11781" width="14.88671875" style="500" customWidth="1"/>
    <col min="11782" max="11782" width="16.6640625" style="500" customWidth="1"/>
    <col min="11783" max="11789" width="0" style="500" hidden="1" customWidth="1"/>
    <col min="11790" max="12021" width="9.109375" style="500"/>
    <col min="12022" max="12022" width="4.33203125" style="500" customWidth="1"/>
    <col min="12023" max="12023" width="5.5546875" style="500" customWidth="1"/>
    <col min="12024" max="12024" width="1.6640625" style="500" customWidth="1"/>
    <col min="12025" max="12028" width="10.5546875" style="500" customWidth="1"/>
    <col min="12029" max="12029" width="13" style="500" customWidth="1"/>
    <col min="12030" max="12030" width="9.6640625" style="500" customWidth="1"/>
    <col min="12031" max="12031" width="9.44140625" style="500" customWidth="1"/>
    <col min="12032" max="12032" width="6.6640625" style="500" customWidth="1"/>
    <col min="12033" max="12033" width="15.6640625" style="500" customWidth="1"/>
    <col min="12034" max="12034" width="14.33203125" style="500" customWidth="1"/>
    <col min="12035" max="12035" width="15.6640625" style="500" customWidth="1"/>
    <col min="12036" max="12036" width="16.109375" style="500" customWidth="1"/>
    <col min="12037" max="12037" width="14.88671875" style="500" customWidth="1"/>
    <col min="12038" max="12038" width="16.6640625" style="500" customWidth="1"/>
    <col min="12039" max="12045" width="0" style="500" hidden="1" customWidth="1"/>
    <col min="12046" max="12277" width="9.109375" style="500"/>
    <col min="12278" max="12278" width="4.33203125" style="500" customWidth="1"/>
    <col min="12279" max="12279" width="5.5546875" style="500" customWidth="1"/>
    <col min="12280" max="12280" width="1.6640625" style="500" customWidth="1"/>
    <col min="12281" max="12284" width="10.5546875" style="500" customWidth="1"/>
    <col min="12285" max="12285" width="13" style="500" customWidth="1"/>
    <col min="12286" max="12286" width="9.6640625" style="500" customWidth="1"/>
    <col min="12287" max="12287" width="9.44140625" style="500" customWidth="1"/>
    <col min="12288" max="12288" width="6.6640625" style="500" customWidth="1"/>
    <col min="12289" max="12289" width="15.6640625" style="500" customWidth="1"/>
    <col min="12290" max="12290" width="14.33203125" style="500" customWidth="1"/>
    <col min="12291" max="12291" width="15.6640625" style="500" customWidth="1"/>
    <col min="12292" max="12292" width="16.109375" style="500" customWidth="1"/>
    <col min="12293" max="12293" width="14.88671875" style="500" customWidth="1"/>
    <col min="12294" max="12294" width="16.6640625" style="500" customWidth="1"/>
    <col min="12295" max="12301" width="0" style="500" hidden="1" customWidth="1"/>
    <col min="12302" max="12533" width="9.109375" style="500"/>
    <col min="12534" max="12534" width="4.33203125" style="500" customWidth="1"/>
    <col min="12535" max="12535" width="5.5546875" style="500" customWidth="1"/>
    <col min="12536" max="12536" width="1.6640625" style="500" customWidth="1"/>
    <col min="12537" max="12540" width="10.5546875" style="500" customWidth="1"/>
    <col min="12541" max="12541" width="13" style="500" customWidth="1"/>
    <col min="12542" max="12542" width="9.6640625" style="500" customWidth="1"/>
    <col min="12543" max="12543" width="9.44140625" style="500" customWidth="1"/>
    <col min="12544" max="12544" width="6.6640625" style="500" customWidth="1"/>
    <col min="12545" max="12545" width="15.6640625" style="500" customWidth="1"/>
    <col min="12546" max="12546" width="14.33203125" style="500" customWidth="1"/>
    <col min="12547" max="12547" width="15.6640625" style="500" customWidth="1"/>
    <col min="12548" max="12548" width="16.109375" style="500" customWidth="1"/>
    <col min="12549" max="12549" width="14.88671875" style="500" customWidth="1"/>
    <col min="12550" max="12550" width="16.6640625" style="500" customWidth="1"/>
    <col min="12551" max="12557" width="0" style="500" hidden="1" customWidth="1"/>
    <col min="12558" max="12789" width="9.109375" style="500"/>
    <col min="12790" max="12790" width="4.33203125" style="500" customWidth="1"/>
    <col min="12791" max="12791" width="5.5546875" style="500" customWidth="1"/>
    <col min="12792" max="12792" width="1.6640625" style="500" customWidth="1"/>
    <col min="12793" max="12796" width="10.5546875" style="500" customWidth="1"/>
    <col min="12797" max="12797" width="13" style="500" customWidth="1"/>
    <col min="12798" max="12798" width="9.6640625" style="500" customWidth="1"/>
    <col min="12799" max="12799" width="9.44140625" style="500" customWidth="1"/>
    <col min="12800" max="12800" width="6.6640625" style="500" customWidth="1"/>
    <col min="12801" max="12801" width="15.6640625" style="500" customWidth="1"/>
    <col min="12802" max="12802" width="14.33203125" style="500" customWidth="1"/>
    <col min="12803" max="12803" width="15.6640625" style="500" customWidth="1"/>
    <col min="12804" max="12804" width="16.109375" style="500" customWidth="1"/>
    <col min="12805" max="12805" width="14.88671875" style="500" customWidth="1"/>
    <col min="12806" max="12806" width="16.6640625" style="500" customWidth="1"/>
    <col min="12807" max="12813" width="0" style="500" hidden="1" customWidth="1"/>
    <col min="12814" max="13045" width="9.109375" style="500"/>
    <col min="13046" max="13046" width="4.33203125" style="500" customWidth="1"/>
    <col min="13047" max="13047" width="5.5546875" style="500" customWidth="1"/>
    <col min="13048" max="13048" width="1.6640625" style="500" customWidth="1"/>
    <col min="13049" max="13052" width="10.5546875" style="500" customWidth="1"/>
    <col min="13053" max="13053" width="13" style="500" customWidth="1"/>
    <col min="13054" max="13054" width="9.6640625" style="500" customWidth="1"/>
    <col min="13055" max="13055" width="9.44140625" style="500" customWidth="1"/>
    <col min="13056" max="13056" width="6.6640625" style="500" customWidth="1"/>
    <col min="13057" max="13057" width="15.6640625" style="500" customWidth="1"/>
    <col min="13058" max="13058" width="14.33203125" style="500" customWidth="1"/>
    <col min="13059" max="13059" width="15.6640625" style="500" customWidth="1"/>
    <col min="13060" max="13060" width="16.109375" style="500" customWidth="1"/>
    <col min="13061" max="13061" width="14.88671875" style="500" customWidth="1"/>
    <col min="13062" max="13062" width="16.6640625" style="500" customWidth="1"/>
    <col min="13063" max="13069" width="0" style="500" hidden="1" customWidth="1"/>
    <col min="13070" max="13301" width="9.109375" style="500"/>
    <col min="13302" max="13302" width="4.33203125" style="500" customWidth="1"/>
    <col min="13303" max="13303" width="5.5546875" style="500" customWidth="1"/>
    <col min="13304" max="13304" width="1.6640625" style="500" customWidth="1"/>
    <col min="13305" max="13308" width="10.5546875" style="500" customWidth="1"/>
    <col min="13309" max="13309" width="13" style="500" customWidth="1"/>
    <col min="13310" max="13310" width="9.6640625" style="500" customWidth="1"/>
    <col min="13311" max="13311" width="9.44140625" style="500" customWidth="1"/>
    <col min="13312" max="13312" width="6.6640625" style="500" customWidth="1"/>
    <col min="13313" max="13313" width="15.6640625" style="500" customWidth="1"/>
    <col min="13314" max="13314" width="14.33203125" style="500" customWidth="1"/>
    <col min="13315" max="13315" width="15.6640625" style="500" customWidth="1"/>
    <col min="13316" max="13316" width="16.109375" style="500" customWidth="1"/>
    <col min="13317" max="13317" width="14.88671875" style="500" customWidth="1"/>
    <col min="13318" max="13318" width="16.6640625" style="500" customWidth="1"/>
    <col min="13319" max="13325" width="0" style="500" hidden="1" customWidth="1"/>
    <col min="13326" max="13557" width="9.109375" style="500"/>
    <col min="13558" max="13558" width="4.33203125" style="500" customWidth="1"/>
    <col min="13559" max="13559" width="5.5546875" style="500" customWidth="1"/>
    <col min="13560" max="13560" width="1.6640625" style="500" customWidth="1"/>
    <col min="13561" max="13564" width="10.5546875" style="500" customWidth="1"/>
    <col min="13565" max="13565" width="13" style="500" customWidth="1"/>
    <col min="13566" max="13566" width="9.6640625" style="500" customWidth="1"/>
    <col min="13567" max="13567" width="9.44140625" style="500" customWidth="1"/>
    <col min="13568" max="13568" width="6.6640625" style="500" customWidth="1"/>
    <col min="13569" max="13569" width="15.6640625" style="500" customWidth="1"/>
    <col min="13570" max="13570" width="14.33203125" style="500" customWidth="1"/>
    <col min="13571" max="13571" width="15.6640625" style="500" customWidth="1"/>
    <col min="13572" max="13572" width="16.109375" style="500" customWidth="1"/>
    <col min="13573" max="13573" width="14.88671875" style="500" customWidth="1"/>
    <col min="13574" max="13574" width="16.6640625" style="500" customWidth="1"/>
    <col min="13575" max="13581" width="0" style="500" hidden="1" customWidth="1"/>
    <col min="13582" max="13813" width="9.109375" style="500"/>
    <col min="13814" max="13814" width="4.33203125" style="500" customWidth="1"/>
    <col min="13815" max="13815" width="5.5546875" style="500" customWidth="1"/>
    <col min="13816" max="13816" width="1.6640625" style="500" customWidth="1"/>
    <col min="13817" max="13820" width="10.5546875" style="500" customWidth="1"/>
    <col min="13821" max="13821" width="13" style="500" customWidth="1"/>
    <col min="13822" max="13822" width="9.6640625" style="500" customWidth="1"/>
    <col min="13823" max="13823" width="9.44140625" style="500" customWidth="1"/>
    <col min="13824" max="13824" width="6.6640625" style="500" customWidth="1"/>
    <col min="13825" max="13825" width="15.6640625" style="500" customWidth="1"/>
    <col min="13826" max="13826" width="14.33203125" style="500" customWidth="1"/>
    <col min="13827" max="13827" width="15.6640625" style="500" customWidth="1"/>
    <col min="13828" max="13828" width="16.109375" style="500" customWidth="1"/>
    <col min="13829" max="13829" width="14.88671875" style="500" customWidth="1"/>
    <col min="13830" max="13830" width="16.6640625" style="500" customWidth="1"/>
    <col min="13831" max="13837" width="0" style="500" hidden="1" customWidth="1"/>
    <col min="13838" max="14069" width="9.109375" style="500"/>
    <col min="14070" max="14070" width="4.33203125" style="500" customWidth="1"/>
    <col min="14071" max="14071" width="5.5546875" style="500" customWidth="1"/>
    <col min="14072" max="14072" width="1.6640625" style="500" customWidth="1"/>
    <col min="14073" max="14076" width="10.5546875" style="500" customWidth="1"/>
    <col min="14077" max="14077" width="13" style="500" customWidth="1"/>
    <col min="14078" max="14078" width="9.6640625" style="500" customWidth="1"/>
    <col min="14079" max="14079" width="9.44140625" style="500" customWidth="1"/>
    <col min="14080" max="14080" width="6.6640625" style="500" customWidth="1"/>
    <col min="14081" max="14081" width="15.6640625" style="500" customWidth="1"/>
    <col min="14082" max="14082" width="14.33203125" style="500" customWidth="1"/>
    <col min="14083" max="14083" width="15.6640625" style="500" customWidth="1"/>
    <col min="14084" max="14084" width="16.109375" style="500" customWidth="1"/>
    <col min="14085" max="14085" width="14.88671875" style="500" customWidth="1"/>
    <col min="14086" max="14086" width="16.6640625" style="500" customWidth="1"/>
    <col min="14087" max="14093" width="0" style="500" hidden="1" customWidth="1"/>
    <col min="14094" max="14325" width="9.109375" style="500"/>
    <col min="14326" max="14326" width="4.33203125" style="500" customWidth="1"/>
    <col min="14327" max="14327" width="5.5546875" style="500" customWidth="1"/>
    <col min="14328" max="14328" width="1.6640625" style="500" customWidth="1"/>
    <col min="14329" max="14332" width="10.5546875" style="500" customWidth="1"/>
    <col min="14333" max="14333" width="13" style="500" customWidth="1"/>
    <col min="14334" max="14334" width="9.6640625" style="500" customWidth="1"/>
    <col min="14335" max="14335" width="9.44140625" style="500" customWidth="1"/>
    <col min="14336" max="14336" width="6.6640625" style="500" customWidth="1"/>
    <col min="14337" max="14337" width="15.6640625" style="500" customWidth="1"/>
    <col min="14338" max="14338" width="14.33203125" style="500" customWidth="1"/>
    <col min="14339" max="14339" width="15.6640625" style="500" customWidth="1"/>
    <col min="14340" max="14340" width="16.109375" style="500" customWidth="1"/>
    <col min="14341" max="14341" width="14.88671875" style="500" customWidth="1"/>
    <col min="14342" max="14342" width="16.6640625" style="500" customWidth="1"/>
    <col min="14343" max="14349" width="0" style="500" hidden="1" customWidth="1"/>
    <col min="14350" max="14581" width="9.109375" style="500"/>
    <col min="14582" max="14582" width="4.33203125" style="500" customWidth="1"/>
    <col min="14583" max="14583" width="5.5546875" style="500" customWidth="1"/>
    <col min="14584" max="14584" width="1.6640625" style="500" customWidth="1"/>
    <col min="14585" max="14588" width="10.5546875" style="500" customWidth="1"/>
    <col min="14589" max="14589" width="13" style="500" customWidth="1"/>
    <col min="14590" max="14590" width="9.6640625" style="500" customWidth="1"/>
    <col min="14591" max="14591" width="9.44140625" style="500" customWidth="1"/>
    <col min="14592" max="14592" width="6.6640625" style="500" customWidth="1"/>
    <col min="14593" max="14593" width="15.6640625" style="500" customWidth="1"/>
    <col min="14594" max="14594" width="14.33203125" style="500" customWidth="1"/>
    <col min="14595" max="14595" width="15.6640625" style="500" customWidth="1"/>
    <col min="14596" max="14596" width="16.109375" style="500" customWidth="1"/>
    <col min="14597" max="14597" width="14.88671875" style="500" customWidth="1"/>
    <col min="14598" max="14598" width="16.6640625" style="500" customWidth="1"/>
    <col min="14599" max="14605" width="0" style="500" hidden="1" customWidth="1"/>
    <col min="14606" max="14837" width="9.109375" style="500"/>
    <col min="14838" max="14838" width="4.33203125" style="500" customWidth="1"/>
    <col min="14839" max="14839" width="5.5546875" style="500" customWidth="1"/>
    <col min="14840" max="14840" width="1.6640625" style="500" customWidth="1"/>
    <col min="14841" max="14844" width="10.5546875" style="500" customWidth="1"/>
    <col min="14845" max="14845" width="13" style="500" customWidth="1"/>
    <col min="14846" max="14846" width="9.6640625" style="500" customWidth="1"/>
    <col min="14847" max="14847" width="9.44140625" style="500" customWidth="1"/>
    <col min="14848" max="14848" width="6.6640625" style="500" customWidth="1"/>
    <col min="14849" max="14849" width="15.6640625" style="500" customWidth="1"/>
    <col min="14850" max="14850" width="14.33203125" style="500" customWidth="1"/>
    <col min="14851" max="14851" width="15.6640625" style="500" customWidth="1"/>
    <col min="14852" max="14852" width="16.109375" style="500" customWidth="1"/>
    <col min="14853" max="14853" width="14.88671875" style="500" customWidth="1"/>
    <col min="14854" max="14854" width="16.6640625" style="500" customWidth="1"/>
    <col min="14855" max="14861" width="0" style="500" hidden="1" customWidth="1"/>
    <col min="14862" max="15093" width="9.109375" style="500"/>
    <col min="15094" max="15094" width="4.33203125" style="500" customWidth="1"/>
    <col min="15095" max="15095" width="5.5546875" style="500" customWidth="1"/>
    <col min="15096" max="15096" width="1.6640625" style="500" customWidth="1"/>
    <col min="15097" max="15100" width="10.5546875" style="500" customWidth="1"/>
    <col min="15101" max="15101" width="13" style="500" customWidth="1"/>
    <col min="15102" max="15102" width="9.6640625" style="500" customWidth="1"/>
    <col min="15103" max="15103" width="9.44140625" style="500" customWidth="1"/>
    <col min="15104" max="15104" width="6.6640625" style="500" customWidth="1"/>
    <col min="15105" max="15105" width="15.6640625" style="500" customWidth="1"/>
    <col min="15106" max="15106" width="14.33203125" style="500" customWidth="1"/>
    <col min="15107" max="15107" width="15.6640625" style="500" customWidth="1"/>
    <col min="15108" max="15108" width="16.109375" style="500" customWidth="1"/>
    <col min="15109" max="15109" width="14.88671875" style="500" customWidth="1"/>
    <col min="15110" max="15110" width="16.6640625" style="500" customWidth="1"/>
    <col min="15111" max="15117" width="0" style="500" hidden="1" customWidth="1"/>
    <col min="15118" max="15349" width="9.109375" style="500"/>
    <col min="15350" max="15350" width="4.33203125" style="500" customWidth="1"/>
    <col min="15351" max="15351" width="5.5546875" style="500" customWidth="1"/>
    <col min="15352" max="15352" width="1.6640625" style="500" customWidth="1"/>
    <col min="15353" max="15356" width="10.5546875" style="500" customWidth="1"/>
    <col min="15357" max="15357" width="13" style="500" customWidth="1"/>
    <col min="15358" max="15358" width="9.6640625" style="500" customWidth="1"/>
    <col min="15359" max="15359" width="9.44140625" style="500" customWidth="1"/>
    <col min="15360" max="15360" width="6.6640625" style="500" customWidth="1"/>
    <col min="15361" max="15361" width="15.6640625" style="500" customWidth="1"/>
    <col min="15362" max="15362" width="14.33203125" style="500" customWidth="1"/>
    <col min="15363" max="15363" width="15.6640625" style="500" customWidth="1"/>
    <col min="15364" max="15364" width="16.109375" style="500" customWidth="1"/>
    <col min="15365" max="15365" width="14.88671875" style="500" customWidth="1"/>
    <col min="15366" max="15366" width="16.6640625" style="500" customWidth="1"/>
    <col min="15367" max="15373" width="0" style="500" hidden="1" customWidth="1"/>
    <col min="15374" max="15605" width="9.109375" style="500"/>
    <col min="15606" max="15606" width="4.33203125" style="500" customWidth="1"/>
    <col min="15607" max="15607" width="5.5546875" style="500" customWidth="1"/>
    <col min="15608" max="15608" width="1.6640625" style="500" customWidth="1"/>
    <col min="15609" max="15612" width="10.5546875" style="500" customWidth="1"/>
    <col min="15613" max="15613" width="13" style="500" customWidth="1"/>
    <col min="15614" max="15614" width="9.6640625" style="500" customWidth="1"/>
    <col min="15615" max="15615" width="9.44140625" style="500" customWidth="1"/>
    <col min="15616" max="15616" width="6.6640625" style="500" customWidth="1"/>
    <col min="15617" max="15617" width="15.6640625" style="500" customWidth="1"/>
    <col min="15618" max="15618" width="14.33203125" style="500" customWidth="1"/>
    <col min="15619" max="15619" width="15.6640625" style="500" customWidth="1"/>
    <col min="15620" max="15620" width="16.109375" style="500" customWidth="1"/>
    <col min="15621" max="15621" width="14.88671875" style="500" customWidth="1"/>
    <col min="15622" max="15622" width="16.6640625" style="500" customWidth="1"/>
    <col min="15623" max="15629" width="0" style="500" hidden="1" customWidth="1"/>
    <col min="15630" max="15861" width="9.109375" style="500"/>
    <col min="15862" max="15862" width="4.33203125" style="500" customWidth="1"/>
    <col min="15863" max="15863" width="5.5546875" style="500" customWidth="1"/>
    <col min="15864" max="15864" width="1.6640625" style="500" customWidth="1"/>
    <col min="15865" max="15868" width="10.5546875" style="500" customWidth="1"/>
    <col min="15869" max="15869" width="13" style="500" customWidth="1"/>
    <col min="15870" max="15870" width="9.6640625" style="500" customWidth="1"/>
    <col min="15871" max="15871" width="9.44140625" style="500" customWidth="1"/>
    <col min="15872" max="15872" width="6.6640625" style="500" customWidth="1"/>
    <col min="15873" max="15873" width="15.6640625" style="500" customWidth="1"/>
    <col min="15874" max="15874" width="14.33203125" style="500" customWidth="1"/>
    <col min="15875" max="15875" width="15.6640625" style="500" customWidth="1"/>
    <col min="15876" max="15876" width="16.109375" style="500" customWidth="1"/>
    <col min="15877" max="15877" width="14.88671875" style="500" customWidth="1"/>
    <col min="15878" max="15878" width="16.6640625" style="500" customWidth="1"/>
    <col min="15879" max="15885" width="0" style="500" hidden="1" customWidth="1"/>
    <col min="15886" max="16117" width="9.109375" style="500"/>
    <col min="16118" max="16118" width="4.33203125" style="500" customWidth="1"/>
    <col min="16119" max="16119" width="5.5546875" style="500" customWidth="1"/>
    <col min="16120" max="16120" width="1.6640625" style="500" customWidth="1"/>
    <col min="16121" max="16124" width="10.5546875" style="500" customWidth="1"/>
    <col min="16125" max="16125" width="13" style="500" customWidth="1"/>
    <col min="16126" max="16126" width="9.6640625" style="500" customWidth="1"/>
    <col min="16127" max="16127" width="9.44140625" style="500" customWidth="1"/>
    <col min="16128" max="16128" width="6.6640625" style="500" customWidth="1"/>
    <col min="16129" max="16129" width="15.6640625" style="500" customWidth="1"/>
    <col min="16130" max="16130" width="14.33203125" style="500" customWidth="1"/>
    <col min="16131" max="16131" width="15.6640625" style="500" customWidth="1"/>
    <col min="16132" max="16132" width="16.109375" style="500" customWidth="1"/>
    <col min="16133" max="16133" width="14.88671875" style="500" customWidth="1"/>
    <col min="16134" max="16134" width="16.6640625" style="500" customWidth="1"/>
    <col min="16135" max="16141" width="0" style="500" hidden="1" customWidth="1"/>
    <col min="16142" max="16384" width="9.109375" style="500"/>
  </cols>
  <sheetData>
    <row r="1" spans="1:26" ht="7.2" customHeight="1" x14ac:dyDescent="0.25">
      <c r="M1" s="502"/>
      <c r="N1" s="593"/>
    </row>
    <row r="2" spans="1:26" s="1" customFormat="1" ht="13.2" x14ac:dyDescent="0.25">
      <c r="A2" s="594" t="s">
        <v>221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</row>
    <row r="3" spans="1:26" s="1" customFormat="1" ht="13.2" x14ac:dyDescent="0.25">
      <c r="A3" s="595" t="s">
        <v>139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</row>
    <row r="4" spans="1:26" s="1" customFormat="1" ht="13.2" x14ac:dyDescent="0.25">
      <c r="A4" s="594" t="s">
        <v>178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</row>
    <row r="5" spans="1:26" s="1" customFormat="1" ht="13.2" x14ac:dyDescent="0.25">
      <c r="A5" s="595" t="s">
        <v>24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</row>
    <row r="6" spans="1:26" ht="7.2" customHeight="1" x14ac:dyDescent="0.25">
      <c r="M6" s="502"/>
      <c r="N6" s="528"/>
    </row>
    <row r="7" spans="1:26" s="513" customFormat="1" ht="9.6" customHeight="1" thickBot="1" x14ac:dyDescent="0.3">
      <c r="A7" s="503"/>
      <c r="B7" s="504"/>
      <c r="C7" s="505"/>
      <c r="D7" s="505"/>
      <c r="E7" s="511"/>
      <c r="F7" s="511"/>
      <c r="G7" s="511"/>
      <c r="H7" s="511"/>
      <c r="I7" s="506"/>
      <c r="J7" s="511"/>
      <c r="K7" s="511"/>
      <c r="L7" s="510"/>
      <c r="M7" s="509"/>
      <c r="N7" s="507"/>
      <c r="O7" s="506"/>
      <c r="P7" s="506"/>
      <c r="Q7" s="506"/>
      <c r="R7" s="506"/>
      <c r="S7" s="506"/>
      <c r="T7" s="506"/>
      <c r="U7" s="506"/>
      <c r="V7" s="506"/>
      <c r="W7" s="506"/>
      <c r="X7" s="512"/>
    </row>
    <row r="8" spans="1:26" s="494" customFormat="1" ht="12.75" customHeight="1" thickBot="1" x14ac:dyDescent="0.3">
      <c r="A8" s="641" t="s">
        <v>222</v>
      </c>
      <c r="B8" s="642"/>
      <c r="C8" s="642"/>
      <c r="D8" s="642"/>
      <c r="E8" s="642"/>
      <c r="F8" s="642"/>
      <c r="G8" s="642"/>
      <c r="H8" s="642"/>
      <c r="I8" s="642"/>
      <c r="J8" s="642"/>
      <c r="K8" s="643"/>
      <c r="L8" s="647" t="s">
        <v>43</v>
      </c>
      <c r="M8" s="634" t="s">
        <v>44</v>
      </c>
      <c r="N8" s="634" t="s">
        <v>223</v>
      </c>
      <c r="O8" s="636" t="s">
        <v>224</v>
      </c>
      <c r="P8" s="637"/>
      <c r="Q8" s="638" t="s">
        <v>225</v>
      </c>
      <c r="R8" s="638"/>
      <c r="S8" s="634" t="s">
        <v>226</v>
      </c>
      <c r="T8" s="639" t="s">
        <v>6</v>
      </c>
      <c r="U8" s="630" t="s">
        <v>227</v>
      </c>
      <c r="V8" s="634" t="s">
        <v>226</v>
      </c>
      <c r="W8" s="630" t="s">
        <v>46</v>
      </c>
      <c r="X8" s="630" t="s">
        <v>45</v>
      </c>
    </row>
    <row r="9" spans="1:26" s="494" customFormat="1" ht="12.75" customHeight="1" thickBot="1" x14ac:dyDescent="0.3">
      <c r="A9" s="644"/>
      <c r="B9" s="645"/>
      <c r="C9" s="645"/>
      <c r="D9" s="645"/>
      <c r="E9" s="645"/>
      <c r="F9" s="645"/>
      <c r="G9" s="645"/>
      <c r="H9" s="645"/>
      <c r="I9" s="645"/>
      <c r="J9" s="645"/>
      <c r="K9" s="646"/>
      <c r="L9" s="648"/>
      <c r="M9" s="635"/>
      <c r="N9" s="635"/>
      <c r="O9" s="531" t="s">
        <v>9</v>
      </c>
      <c r="P9" s="531" t="s">
        <v>228</v>
      </c>
      <c r="Q9" s="532" t="s">
        <v>11</v>
      </c>
      <c r="R9" s="533" t="s">
        <v>229</v>
      </c>
      <c r="S9" s="635"/>
      <c r="T9" s="631"/>
      <c r="U9" s="631"/>
      <c r="V9" s="635"/>
      <c r="W9" s="631"/>
      <c r="X9" s="631"/>
      <c r="Y9" s="514"/>
      <c r="Z9" s="515"/>
    </row>
    <row r="10" spans="1:26" s="494" customFormat="1" ht="12.75" customHeight="1" x14ac:dyDescent="0.25">
      <c r="A10" s="566">
        <v>1</v>
      </c>
      <c r="B10" s="632" t="s">
        <v>230</v>
      </c>
      <c r="C10" s="632"/>
      <c r="D10" s="632"/>
      <c r="E10" s="632"/>
      <c r="F10" s="632"/>
      <c r="G10" s="632"/>
      <c r="H10" s="632"/>
      <c r="I10" s="632"/>
      <c r="J10" s="632"/>
      <c r="K10" s="632"/>
      <c r="L10" s="567"/>
      <c r="M10" s="568"/>
      <c r="N10" s="569"/>
      <c r="O10" s="570"/>
      <c r="P10" s="570"/>
      <c r="Q10" s="571"/>
      <c r="R10" s="570"/>
      <c r="S10" s="570"/>
      <c r="T10" s="572"/>
      <c r="U10" s="572"/>
      <c r="V10" s="573"/>
      <c r="W10" s="574"/>
      <c r="X10" s="575"/>
      <c r="Y10" s="529"/>
    </row>
    <row r="11" spans="1:26" s="494" customFormat="1" ht="18.600000000000001" customHeight="1" x14ac:dyDescent="0.25">
      <c r="A11" s="576"/>
      <c r="B11" s="534">
        <v>1.1000000000000001</v>
      </c>
      <c r="C11" s="619" t="s">
        <v>231</v>
      </c>
      <c r="D11" s="619"/>
      <c r="E11" s="619"/>
      <c r="F11" s="619"/>
      <c r="G11" s="619"/>
      <c r="H11" s="619"/>
      <c r="I11" s="619"/>
      <c r="J11" s="619"/>
      <c r="K11" s="619"/>
      <c r="L11" s="535">
        <v>1</v>
      </c>
      <c r="M11" s="536" t="s">
        <v>15</v>
      </c>
      <c r="N11" s="543"/>
      <c r="O11" s="538">
        <v>0</v>
      </c>
      <c r="P11" s="538">
        <v>0</v>
      </c>
      <c r="Q11" s="539">
        <v>0</v>
      </c>
      <c r="R11" s="538">
        <f>Q11*N11</f>
        <v>0</v>
      </c>
      <c r="S11" s="541">
        <f>O11+P11-R11</f>
        <v>0</v>
      </c>
      <c r="T11" s="544">
        <f>ROUND((N11+R11)*0.05,2)</f>
        <v>0</v>
      </c>
      <c r="U11" s="544">
        <f>R11+T11</f>
        <v>0</v>
      </c>
      <c r="V11" s="541">
        <f>U11-T11-R11</f>
        <v>0</v>
      </c>
      <c r="W11" s="545">
        <f>ROUND(N11+U11,2)</f>
        <v>0</v>
      </c>
      <c r="X11" s="577">
        <f>W11/L11</f>
        <v>0</v>
      </c>
      <c r="Y11" s="529"/>
    </row>
    <row r="12" spans="1:26" s="494" customFormat="1" ht="18.600000000000001" hidden="1" customHeight="1" outlineLevel="1" x14ac:dyDescent="0.25">
      <c r="A12" s="576"/>
      <c r="B12" s="546"/>
      <c r="C12" s="540"/>
      <c r="D12" s="540"/>
      <c r="E12" s="540"/>
      <c r="F12" s="540"/>
      <c r="G12" s="540"/>
      <c r="H12" s="540"/>
      <c r="I12" s="540"/>
      <c r="J12" s="540"/>
      <c r="K12" s="540"/>
      <c r="L12" s="535"/>
      <c r="M12" s="536"/>
      <c r="N12" s="543"/>
      <c r="O12" s="538"/>
      <c r="P12" s="538"/>
      <c r="Q12" s="539"/>
      <c r="R12" s="538"/>
      <c r="S12" s="538"/>
      <c r="T12" s="540"/>
      <c r="U12" s="540"/>
      <c r="V12" s="541"/>
      <c r="W12" s="542"/>
      <c r="X12" s="578"/>
      <c r="Y12" s="529"/>
    </row>
    <row r="13" spans="1:26" s="494" customFormat="1" ht="18.600000000000001" hidden="1" customHeight="1" outlineLevel="1" x14ac:dyDescent="0.25">
      <c r="A13" s="576"/>
      <c r="B13" s="547" t="s">
        <v>47</v>
      </c>
      <c r="C13" s="540"/>
      <c r="D13" s="540"/>
      <c r="E13" s="547" t="s">
        <v>42</v>
      </c>
      <c r="F13" s="547"/>
      <c r="G13" s="548" t="s">
        <v>43</v>
      </c>
      <c r="H13" s="548" t="s">
        <v>44</v>
      </c>
      <c r="I13" s="548" t="s">
        <v>45</v>
      </c>
      <c r="J13" s="548" t="s">
        <v>46</v>
      </c>
      <c r="K13" s="549">
        <v>1.7500000000000002E-2</v>
      </c>
      <c r="L13" s="535"/>
      <c r="M13" s="536"/>
      <c r="N13" s="543"/>
      <c r="O13" s="538"/>
      <c r="P13" s="538"/>
      <c r="Q13" s="539"/>
      <c r="R13" s="538"/>
      <c r="S13" s="538"/>
      <c r="T13" s="540"/>
      <c r="U13" s="540"/>
      <c r="V13" s="541"/>
      <c r="W13" s="542"/>
      <c r="X13" s="578"/>
      <c r="Y13" s="529"/>
    </row>
    <row r="14" spans="1:26" s="494" customFormat="1" ht="18.600000000000001" hidden="1" customHeight="1" outlineLevel="1" x14ac:dyDescent="0.25">
      <c r="A14" s="576"/>
      <c r="B14" s="550"/>
      <c r="C14" s="551"/>
      <c r="D14" s="551"/>
      <c r="E14" s="551"/>
      <c r="F14" s="551"/>
      <c r="G14" s="551">
        <v>1</v>
      </c>
      <c r="H14" s="552" t="s">
        <v>15</v>
      </c>
      <c r="I14" s="542">
        <f>SUM(N20:N53)*1%</f>
        <v>0</v>
      </c>
      <c r="J14" s="553">
        <f>I14*G14</f>
        <v>0</v>
      </c>
      <c r="K14" s="540" t="s">
        <v>232</v>
      </c>
      <c r="L14" s="535"/>
      <c r="M14" s="536"/>
      <c r="N14" s="543"/>
      <c r="O14" s="538"/>
      <c r="P14" s="538"/>
      <c r="Q14" s="539"/>
      <c r="R14" s="538"/>
      <c r="S14" s="538"/>
      <c r="T14" s="540"/>
      <c r="U14" s="540"/>
      <c r="V14" s="541"/>
      <c r="W14" s="542"/>
      <c r="X14" s="578"/>
      <c r="Y14" s="529"/>
    </row>
    <row r="15" spans="1:26" s="494" customFormat="1" ht="18.600000000000001" customHeight="1" collapsed="1" x14ac:dyDescent="0.25">
      <c r="A15" s="576"/>
      <c r="B15" s="534">
        <v>1.2</v>
      </c>
      <c r="C15" s="633" t="s">
        <v>233</v>
      </c>
      <c r="D15" s="633"/>
      <c r="E15" s="633"/>
      <c r="F15" s="633"/>
      <c r="G15" s="633"/>
      <c r="H15" s="633"/>
      <c r="I15" s="633"/>
      <c r="J15" s="633"/>
      <c r="K15" s="633"/>
      <c r="L15" s="535">
        <v>1</v>
      </c>
      <c r="M15" s="536" t="s">
        <v>15</v>
      </c>
      <c r="N15" s="543"/>
      <c r="O15" s="538">
        <f>ROUND(N15*0.15,2)</f>
        <v>0</v>
      </c>
      <c r="P15" s="538">
        <f>ROUND(N15*0.1,2)</f>
        <v>0</v>
      </c>
      <c r="Q15" s="539">
        <v>0.25</v>
      </c>
      <c r="R15" s="538">
        <f>Q15*N15</f>
        <v>0</v>
      </c>
      <c r="S15" s="541">
        <f>O15+P15-R15</f>
        <v>0</v>
      </c>
      <c r="T15" s="544">
        <f>ROUND((N15+R15)*0.05,2)</f>
        <v>0</v>
      </c>
      <c r="U15" s="544">
        <f>R15+T15</f>
        <v>0</v>
      </c>
      <c r="V15" s="541">
        <f>U15-T15-R15</f>
        <v>0</v>
      </c>
      <c r="W15" s="545">
        <f>ROUND(N15+U15,2)</f>
        <v>0</v>
      </c>
      <c r="X15" s="577">
        <f>W15/L15</f>
        <v>0</v>
      </c>
      <c r="Y15" s="529"/>
    </row>
    <row r="16" spans="1:26" s="494" customFormat="1" ht="18.600000000000001" customHeight="1" x14ac:dyDescent="0.25">
      <c r="A16" s="576"/>
      <c r="B16" s="534">
        <v>1.3</v>
      </c>
      <c r="C16" s="619" t="s">
        <v>234</v>
      </c>
      <c r="D16" s="619"/>
      <c r="E16" s="619"/>
      <c r="F16" s="619"/>
      <c r="G16" s="619"/>
      <c r="H16" s="619"/>
      <c r="I16" s="619"/>
      <c r="J16" s="619"/>
      <c r="K16" s="619"/>
      <c r="L16" s="535">
        <v>1</v>
      </c>
      <c r="M16" s="536" t="s">
        <v>15</v>
      </c>
      <c r="N16" s="537"/>
      <c r="O16" s="538">
        <v>0</v>
      </c>
      <c r="P16" s="538">
        <f>ROUND(N16*0.1,2)</f>
        <v>0</v>
      </c>
      <c r="Q16" s="539">
        <v>0.1</v>
      </c>
      <c r="R16" s="538">
        <f>Q16*N16</f>
        <v>0</v>
      </c>
      <c r="S16" s="541">
        <f>O16+P16-R16</f>
        <v>0</v>
      </c>
      <c r="T16" s="544">
        <f>ROUND((N16+R16)*0.05,2)</f>
        <v>0</v>
      </c>
      <c r="U16" s="544">
        <f>R16+T16</f>
        <v>0</v>
      </c>
      <c r="V16" s="541">
        <f>U16-T16-R16</f>
        <v>0</v>
      </c>
      <c r="W16" s="545">
        <f>ROUND(N16+U16,2)</f>
        <v>0</v>
      </c>
      <c r="X16" s="577">
        <f>W16/L16</f>
        <v>0</v>
      </c>
      <c r="Y16" s="529"/>
    </row>
    <row r="17" spans="1:25" s="516" customFormat="1" ht="12.75" customHeight="1" x14ac:dyDescent="0.25">
      <c r="A17" s="623"/>
      <c r="B17" s="624"/>
      <c r="C17" s="624"/>
      <c r="D17" s="624"/>
      <c r="E17" s="624"/>
      <c r="F17" s="624"/>
      <c r="G17" s="624"/>
      <c r="H17" s="624"/>
      <c r="I17" s="624"/>
      <c r="J17" s="624"/>
      <c r="K17" s="624"/>
      <c r="L17" s="557"/>
      <c r="M17" s="558"/>
      <c r="N17" s="559"/>
      <c r="O17" s="560"/>
      <c r="P17" s="560"/>
      <c r="Q17" s="561"/>
      <c r="R17" s="560"/>
      <c r="S17" s="560"/>
      <c r="T17" s="562"/>
      <c r="U17" s="563" t="s">
        <v>98</v>
      </c>
      <c r="V17" s="564"/>
      <c r="W17" s="559">
        <f>SUM(W11:W16)</f>
        <v>0</v>
      </c>
      <c r="X17" s="579"/>
      <c r="Y17" s="565"/>
    </row>
    <row r="18" spans="1:25" s="494" customFormat="1" ht="18" customHeight="1" x14ac:dyDescent="0.25">
      <c r="A18" s="580">
        <v>2</v>
      </c>
      <c r="B18" s="640" t="s">
        <v>235</v>
      </c>
      <c r="C18" s="640"/>
      <c r="D18" s="640"/>
      <c r="E18" s="640"/>
      <c r="F18" s="640"/>
      <c r="G18" s="640"/>
      <c r="H18" s="640"/>
      <c r="I18" s="640"/>
      <c r="J18" s="640"/>
      <c r="K18" s="640"/>
      <c r="L18" s="535"/>
      <c r="M18" s="536"/>
      <c r="N18" s="537"/>
      <c r="O18" s="538"/>
      <c r="P18" s="538"/>
      <c r="Q18" s="539"/>
      <c r="R18" s="538"/>
      <c r="S18" s="538"/>
      <c r="T18" s="540"/>
      <c r="U18" s="540"/>
      <c r="V18" s="541"/>
      <c r="W18" s="542"/>
      <c r="X18" s="578"/>
      <c r="Y18" s="529"/>
    </row>
    <row r="19" spans="1:25" s="516" customFormat="1" ht="18" customHeight="1" x14ac:dyDescent="0.25">
      <c r="A19" s="576"/>
      <c r="B19" s="534">
        <v>2.1</v>
      </c>
      <c r="C19" s="629" t="s">
        <v>236</v>
      </c>
      <c r="D19" s="629"/>
      <c r="E19" s="629"/>
      <c r="F19" s="629"/>
      <c r="G19" s="629"/>
      <c r="H19" s="629"/>
      <c r="I19" s="629"/>
      <c r="J19" s="629"/>
      <c r="K19" s="629"/>
      <c r="L19" s="535"/>
      <c r="M19" s="536"/>
      <c r="N19" s="537"/>
      <c r="O19" s="538"/>
      <c r="P19" s="538"/>
      <c r="Q19" s="539"/>
      <c r="R19" s="538"/>
      <c r="S19" s="538"/>
      <c r="T19" s="540"/>
      <c r="U19" s="540"/>
      <c r="V19" s="541"/>
      <c r="W19" s="542"/>
      <c r="X19" s="578"/>
      <c r="Y19" s="530"/>
    </row>
    <row r="20" spans="1:25" s="494" customFormat="1" ht="18" customHeight="1" x14ac:dyDescent="0.25">
      <c r="A20" s="576"/>
      <c r="B20" s="554" t="s">
        <v>36</v>
      </c>
      <c r="C20" s="621" t="s">
        <v>237</v>
      </c>
      <c r="D20" s="621"/>
      <c r="E20" s="621"/>
      <c r="F20" s="621"/>
      <c r="G20" s="621"/>
      <c r="H20" s="621"/>
      <c r="I20" s="621"/>
      <c r="J20" s="621"/>
      <c r="K20" s="621"/>
      <c r="L20" s="535">
        <v>1</v>
      </c>
      <c r="M20" s="535" t="s">
        <v>15</v>
      </c>
      <c r="N20" s="537"/>
      <c r="O20" s="538">
        <f t="shared" ref="O20" si="0">ROUND(N20*0.15,2)</f>
        <v>0</v>
      </c>
      <c r="P20" s="538">
        <f t="shared" ref="P20" si="1">ROUND(N20*0.1,2)</f>
        <v>0</v>
      </c>
      <c r="Q20" s="539">
        <v>0.25</v>
      </c>
      <c r="R20" s="538">
        <f>Q20*N20</f>
        <v>0</v>
      </c>
      <c r="S20" s="541">
        <f>O20+P20-R20</f>
        <v>0</v>
      </c>
      <c r="T20" s="544">
        <f>ROUND((N20+R20)*0.05,2)</f>
        <v>0</v>
      </c>
      <c r="U20" s="544">
        <f>R20+T20</f>
        <v>0</v>
      </c>
      <c r="V20" s="541">
        <f>U20-T20-R20</f>
        <v>0</v>
      </c>
      <c r="W20" s="545">
        <f>ROUND(N20+U20,2)</f>
        <v>0</v>
      </c>
      <c r="X20" s="577">
        <f>W20/L20</f>
        <v>0</v>
      </c>
      <c r="Y20" s="529"/>
    </row>
    <row r="21" spans="1:25" s="494" customFormat="1" ht="18" customHeight="1" x14ac:dyDescent="0.25">
      <c r="A21" s="576"/>
      <c r="B21" s="534">
        <v>2.2000000000000002</v>
      </c>
      <c r="C21" s="627" t="s">
        <v>206</v>
      </c>
      <c r="D21" s="627"/>
      <c r="E21" s="627"/>
      <c r="F21" s="627"/>
      <c r="G21" s="627"/>
      <c r="H21" s="627"/>
      <c r="I21" s="627"/>
      <c r="J21" s="627"/>
      <c r="K21" s="627"/>
      <c r="L21" s="535"/>
      <c r="M21" s="536"/>
      <c r="N21" s="537"/>
      <c r="O21" s="538"/>
      <c r="P21" s="538"/>
      <c r="Q21" s="539"/>
      <c r="R21" s="538"/>
      <c r="S21" s="541"/>
      <c r="T21" s="544"/>
      <c r="U21" s="544"/>
      <c r="V21" s="541"/>
      <c r="W21" s="545"/>
      <c r="X21" s="577"/>
      <c r="Y21" s="529"/>
    </row>
    <row r="22" spans="1:25" s="516" customFormat="1" ht="18" customHeight="1" x14ac:dyDescent="0.25">
      <c r="A22" s="576"/>
      <c r="B22" s="554" t="s">
        <v>218</v>
      </c>
      <c r="C22" s="620" t="s">
        <v>267</v>
      </c>
      <c r="D22" s="620"/>
      <c r="E22" s="620"/>
      <c r="F22" s="620"/>
      <c r="G22" s="620"/>
      <c r="H22" s="620"/>
      <c r="I22" s="620"/>
      <c r="J22" s="620"/>
      <c r="K22" s="620"/>
      <c r="L22" s="535">
        <v>1</v>
      </c>
      <c r="M22" s="535" t="s">
        <v>15</v>
      </c>
      <c r="N22" s="537"/>
      <c r="O22" s="538">
        <f t="shared" ref="O22:O23" si="2">ROUND(N22*0.15,2)</f>
        <v>0</v>
      </c>
      <c r="P22" s="538">
        <f t="shared" ref="P22:P23" si="3">ROUND(N22*0.1,2)</f>
        <v>0</v>
      </c>
      <c r="Q22" s="539">
        <v>0.25</v>
      </c>
      <c r="R22" s="538">
        <f>Q22*N22</f>
        <v>0</v>
      </c>
      <c r="S22" s="541">
        <f>O22+P22-R22</f>
        <v>0</v>
      </c>
      <c r="T22" s="544">
        <f>ROUND((N22+R22)*0.05,2)</f>
        <v>0</v>
      </c>
      <c r="U22" s="544">
        <f>R22+T22</f>
        <v>0</v>
      </c>
      <c r="V22" s="541">
        <f>U22-T22-R22</f>
        <v>0</v>
      </c>
      <c r="W22" s="545">
        <f>ROUND(N22+U22,2)</f>
        <v>0</v>
      </c>
      <c r="X22" s="577">
        <f>W22/L22</f>
        <v>0</v>
      </c>
      <c r="Y22" s="530"/>
    </row>
    <row r="23" spans="1:25" s="516" customFormat="1" ht="18" customHeight="1" x14ac:dyDescent="0.25">
      <c r="A23" s="576"/>
      <c r="B23" s="554" t="s">
        <v>238</v>
      </c>
      <c r="C23" s="620" t="s">
        <v>239</v>
      </c>
      <c r="D23" s="620"/>
      <c r="E23" s="620"/>
      <c r="F23" s="620"/>
      <c r="G23" s="620"/>
      <c r="H23" s="620"/>
      <c r="I23" s="620"/>
      <c r="J23" s="620"/>
      <c r="K23" s="620"/>
      <c r="L23" s="535">
        <v>1.1499999999999999</v>
      </c>
      <c r="M23" s="535" t="s">
        <v>211</v>
      </c>
      <c r="N23" s="537"/>
      <c r="O23" s="538">
        <f t="shared" si="2"/>
        <v>0</v>
      </c>
      <c r="P23" s="538">
        <f t="shared" si="3"/>
        <v>0</v>
      </c>
      <c r="Q23" s="539">
        <v>0.25</v>
      </c>
      <c r="R23" s="538">
        <f>Q23*N23</f>
        <v>0</v>
      </c>
      <c r="S23" s="541">
        <f>O23+P23-R23</f>
        <v>0</v>
      </c>
      <c r="T23" s="544">
        <f>ROUND((N23+R23)*0.05,2)</f>
        <v>0</v>
      </c>
      <c r="U23" s="544">
        <f>R23+T23</f>
        <v>0</v>
      </c>
      <c r="V23" s="541">
        <f>U23-T23-R23</f>
        <v>0</v>
      </c>
      <c r="W23" s="545">
        <f>ROUND(N23+U23,2)</f>
        <v>0</v>
      </c>
      <c r="X23" s="577">
        <f>W23/L23</f>
        <v>0</v>
      </c>
      <c r="Y23" s="530"/>
    </row>
    <row r="24" spans="1:25" s="516" customFormat="1" ht="18" customHeight="1" x14ac:dyDescent="0.25">
      <c r="A24" s="576"/>
      <c r="B24" s="554" t="s">
        <v>268</v>
      </c>
      <c r="C24" s="620" t="s">
        <v>277</v>
      </c>
      <c r="D24" s="620"/>
      <c r="E24" s="620"/>
      <c r="F24" s="620"/>
      <c r="G24" s="620"/>
      <c r="H24" s="620"/>
      <c r="I24" s="620"/>
      <c r="J24" s="620"/>
      <c r="K24" s="620"/>
      <c r="L24" s="535">
        <v>1</v>
      </c>
      <c r="M24" s="535" t="s">
        <v>15</v>
      </c>
      <c r="N24" s="537"/>
      <c r="O24" s="538">
        <f t="shared" ref="O24" si="4">ROUND(N24*0.15,2)</f>
        <v>0</v>
      </c>
      <c r="P24" s="538">
        <f t="shared" ref="P24" si="5">ROUND(N24*0.1,2)</f>
        <v>0</v>
      </c>
      <c r="Q24" s="539">
        <v>0.25000000000000006</v>
      </c>
      <c r="R24" s="538">
        <f>Q24*N24</f>
        <v>0</v>
      </c>
      <c r="S24" s="541">
        <f>O24+P24-R24</f>
        <v>0</v>
      </c>
      <c r="T24" s="544">
        <f>ROUND((N24+R24)*0.05,2)</f>
        <v>0</v>
      </c>
      <c r="U24" s="544">
        <f>R24+T24</f>
        <v>0</v>
      </c>
      <c r="V24" s="541">
        <f>U24-T24-R24</f>
        <v>0</v>
      </c>
      <c r="W24" s="545">
        <f>ROUND(N24+U24,2)</f>
        <v>0</v>
      </c>
      <c r="X24" s="577">
        <f>W24/L24</f>
        <v>0</v>
      </c>
      <c r="Y24" s="530"/>
    </row>
    <row r="25" spans="1:25" s="494" customFormat="1" ht="18" customHeight="1" x14ac:dyDescent="0.25">
      <c r="A25" s="576"/>
      <c r="B25" s="534">
        <v>2.2999999999999998</v>
      </c>
      <c r="C25" s="627" t="s">
        <v>240</v>
      </c>
      <c r="D25" s="627"/>
      <c r="E25" s="627"/>
      <c r="F25" s="627"/>
      <c r="G25" s="627"/>
      <c r="H25" s="627"/>
      <c r="I25" s="627"/>
      <c r="J25" s="627"/>
      <c r="K25" s="627"/>
      <c r="L25" s="535"/>
      <c r="M25" s="536"/>
      <c r="N25" s="537"/>
      <c r="O25" s="538"/>
      <c r="P25" s="538"/>
      <c r="Q25" s="539"/>
      <c r="R25" s="538"/>
      <c r="S25" s="541"/>
      <c r="T25" s="544"/>
      <c r="U25" s="544"/>
      <c r="V25" s="541"/>
      <c r="W25" s="545"/>
      <c r="X25" s="577"/>
      <c r="Y25" s="529"/>
    </row>
    <row r="26" spans="1:25" s="516" customFormat="1" ht="18" customHeight="1" x14ac:dyDescent="0.25">
      <c r="A26" s="576"/>
      <c r="B26" s="554" t="s">
        <v>241</v>
      </c>
      <c r="C26" s="620" t="s">
        <v>242</v>
      </c>
      <c r="D26" s="620"/>
      <c r="E26" s="620"/>
      <c r="F26" s="620"/>
      <c r="G26" s="620"/>
      <c r="H26" s="620"/>
      <c r="I26" s="620"/>
      <c r="J26" s="620"/>
      <c r="K26" s="620"/>
      <c r="L26" s="535">
        <v>1</v>
      </c>
      <c r="M26" s="535" t="s">
        <v>15</v>
      </c>
      <c r="N26" s="537"/>
      <c r="O26" s="538">
        <f t="shared" ref="O26:O27" si="6">ROUND(N26*0.15,2)</f>
        <v>0</v>
      </c>
      <c r="P26" s="538">
        <f t="shared" ref="P26:P27" si="7">ROUND(N26*0.1,2)</f>
        <v>0</v>
      </c>
      <c r="Q26" s="539">
        <v>0.25</v>
      </c>
      <c r="R26" s="538">
        <f>Q26*N26</f>
        <v>0</v>
      </c>
      <c r="S26" s="541">
        <f>O26+P26-R26</f>
        <v>0</v>
      </c>
      <c r="T26" s="544">
        <f>ROUND((N26+R26)*0.05,2)</f>
        <v>0</v>
      </c>
      <c r="U26" s="544">
        <f>R26+T26</f>
        <v>0</v>
      </c>
      <c r="V26" s="541">
        <f>U26-T26-R26</f>
        <v>0</v>
      </c>
      <c r="W26" s="545">
        <f>ROUND(N26+U26,2)</f>
        <v>0</v>
      </c>
      <c r="X26" s="577">
        <f>W26/L26</f>
        <v>0</v>
      </c>
      <c r="Y26" s="530"/>
    </row>
    <row r="27" spans="1:25" s="516" customFormat="1" ht="18" customHeight="1" x14ac:dyDescent="0.25">
      <c r="A27" s="576"/>
      <c r="B27" s="554" t="s">
        <v>243</v>
      </c>
      <c r="C27" s="620" t="s">
        <v>244</v>
      </c>
      <c r="D27" s="620"/>
      <c r="E27" s="620"/>
      <c r="F27" s="620"/>
      <c r="G27" s="620"/>
      <c r="H27" s="620"/>
      <c r="I27" s="620"/>
      <c r="J27" s="620"/>
      <c r="K27" s="620"/>
      <c r="L27" s="535">
        <v>1</v>
      </c>
      <c r="M27" s="535" t="s">
        <v>15</v>
      </c>
      <c r="N27" s="537"/>
      <c r="O27" s="538">
        <f t="shared" si="6"/>
        <v>0</v>
      </c>
      <c r="P27" s="538">
        <f t="shared" si="7"/>
        <v>0</v>
      </c>
      <c r="Q27" s="539">
        <v>0.25</v>
      </c>
      <c r="R27" s="538">
        <f>Q27*N27</f>
        <v>0</v>
      </c>
      <c r="S27" s="541">
        <f>O27+P27-R27</f>
        <v>0</v>
      </c>
      <c r="T27" s="544">
        <f>ROUND((N27+R27)*0.05,2)</f>
        <v>0</v>
      </c>
      <c r="U27" s="544">
        <f>R27+T27</f>
        <v>0</v>
      </c>
      <c r="V27" s="541">
        <f>U27-T27-R27</f>
        <v>0</v>
      </c>
      <c r="W27" s="545">
        <f>ROUND(N27+U27,2)</f>
        <v>0</v>
      </c>
      <c r="X27" s="577">
        <f>W27/L27</f>
        <v>0</v>
      </c>
      <c r="Y27" s="530"/>
    </row>
    <row r="28" spans="1:25" s="516" customFormat="1" ht="18" customHeight="1" x14ac:dyDescent="0.25">
      <c r="A28" s="576"/>
      <c r="B28" s="554" t="s">
        <v>269</v>
      </c>
      <c r="C28" s="620" t="s">
        <v>270</v>
      </c>
      <c r="D28" s="620"/>
      <c r="E28" s="620"/>
      <c r="F28" s="620"/>
      <c r="G28" s="620"/>
      <c r="H28" s="620"/>
      <c r="I28" s="620"/>
      <c r="J28" s="620"/>
      <c r="K28" s="620"/>
      <c r="L28" s="535">
        <v>1</v>
      </c>
      <c r="M28" s="535" t="s">
        <v>15</v>
      </c>
      <c r="N28" s="537"/>
      <c r="O28" s="538">
        <f t="shared" ref="O28" si="8">ROUND(N28*0.15,2)</f>
        <v>0</v>
      </c>
      <c r="P28" s="538">
        <f t="shared" ref="P28" si="9">ROUND(N28*0.1,2)</f>
        <v>0</v>
      </c>
      <c r="Q28" s="539">
        <v>0.25</v>
      </c>
      <c r="R28" s="538">
        <f>Q28*N28</f>
        <v>0</v>
      </c>
      <c r="S28" s="541">
        <f>O28+P28-R28</f>
        <v>0</v>
      </c>
      <c r="T28" s="544">
        <f>ROUND((N28+R28)*0.05,2)</f>
        <v>0</v>
      </c>
      <c r="U28" s="544">
        <f>R28+T28</f>
        <v>0</v>
      </c>
      <c r="V28" s="541">
        <f>U28-T28-R28</f>
        <v>0</v>
      </c>
      <c r="W28" s="545">
        <f>ROUND(N28+U28,2)</f>
        <v>0</v>
      </c>
      <c r="X28" s="577">
        <f>W28/L28</f>
        <v>0</v>
      </c>
      <c r="Y28" s="530"/>
    </row>
    <row r="29" spans="1:25" s="516" customFormat="1" ht="12.75" customHeight="1" x14ac:dyDescent="0.25">
      <c r="A29" s="623"/>
      <c r="B29" s="624"/>
      <c r="C29" s="624"/>
      <c r="D29" s="624"/>
      <c r="E29" s="624"/>
      <c r="F29" s="624"/>
      <c r="G29" s="624"/>
      <c r="H29" s="624"/>
      <c r="I29" s="624"/>
      <c r="J29" s="624"/>
      <c r="K29" s="624"/>
      <c r="L29" s="557"/>
      <c r="M29" s="558"/>
      <c r="N29" s="559"/>
      <c r="O29" s="560"/>
      <c r="P29" s="560"/>
      <c r="Q29" s="561"/>
      <c r="R29" s="560"/>
      <c r="S29" s="560"/>
      <c r="T29" s="562"/>
      <c r="U29" s="563" t="s">
        <v>98</v>
      </c>
      <c r="V29" s="564"/>
      <c r="W29" s="559">
        <f>SUM(W18:W28)</f>
        <v>0</v>
      </c>
      <c r="X29" s="579"/>
      <c r="Y29" s="565"/>
    </row>
    <row r="30" spans="1:25" s="494" customFormat="1" ht="12.75" customHeight="1" x14ac:dyDescent="0.25">
      <c r="A30" s="580">
        <v>3</v>
      </c>
      <c r="B30" s="626" t="s">
        <v>245</v>
      </c>
      <c r="C30" s="626"/>
      <c r="D30" s="626"/>
      <c r="E30" s="626"/>
      <c r="F30" s="626"/>
      <c r="G30" s="626"/>
      <c r="H30" s="626"/>
      <c r="I30" s="626"/>
      <c r="J30" s="626"/>
      <c r="K30" s="626"/>
      <c r="L30" s="535"/>
      <c r="M30" s="536"/>
      <c r="N30" s="537"/>
      <c r="O30" s="538"/>
      <c r="P30" s="538"/>
      <c r="Q30" s="539"/>
      <c r="R30" s="538"/>
      <c r="S30" s="538"/>
      <c r="T30" s="540"/>
      <c r="U30" s="540"/>
      <c r="V30" s="541"/>
      <c r="W30" s="542"/>
      <c r="X30" s="578"/>
      <c r="Y30" s="529"/>
    </row>
    <row r="31" spans="1:25" s="516" customFormat="1" ht="12.75" customHeight="1" x14ac:dyDescent="0.25">
      <c r="A31" s="576"/>
      <c r="B31" s="534">
        <v>3.1</v>
      </c>
      <c r="C31" s="629" t="s">
        <v>246</v>
      </c>
      <c r="D31" s="629"/>
      <c r="E31" s="629"/>
      <c r="F31" s="629"/>
      <c r="G31" s="629"/>
      <c r="H31" s="629"/>
      <c r="I31" s="629"/>
      <c r="J31" s="629"/>
      <c r="K31" s="629"/>
      <c r="L31" s="535">
        <v>1</v>
      </c>
      <c r="M31" s="535" t="s">
        <v>15</v>
      </c>
      <c r="N31" s="537"/>
      <c r="O31" s="538">
        <f>ROUND(N31*0.15,2)</f>
        <v>0</v>
      </c>
      <c r="P31" s="538">
        <f>ROUND(N31*0.1,2)</f>
        <v>0</v>
      </c>
      <c r="Q31" s="539">
        <v>0.25</v>
      </c>
      <c r="R31" s="538">
        <f>Q31*N31</f>
        <v>0</v>
      </c>
      <c r="S31" s="541">
        <f>O31+P31-R31</f>
        <v>0</v>
      </c>
      <c r="T31" s="544">
        <f>ROUND((N31+R31)*0.05,2)</f>
        <v>0</v>
      </c>
      <c r="U31" s="544">
        <f>R31+T31</f>
        <v>0</v>
      </c>
      <c r="V31" s="541">
        <f>U31-T31-R31</f>
        <v>0</v>
      </c>
      <c r="W31" s="545">
        <f>ROUND(N31+U31,2)</f>
        <v>0</v>
      </c>
      <c r="X31" s="577">
        <f>W31/L31</f>
        <v>0</v>
      </c>
      <c r="Y31" s="530"/>
    </row>
    <row r="32" spans="1:25" s="494" customFormat="1" ht="12.75" customHeight="1" x14ac:dyDescent="0.25">
      <c r="A32" s="580"/>
      <c r="B32" s="534">
        <v>3.2</v>
      </c>
      <c r="C32" s="629" t="s">
        <v>247</v>
      </c>
      <c r="D32" s="629"/>
      <c r="E32" s="629"/>
      <c r="F32" s="629"/>
      <c r="G32" s="629"/>
      <c r="H32" s="629"/>
      <c r="I32" s="629"/>
      <c r="J32" s="629"/>
      <c r="K32" s="629"/>
      <c r="L32" s="535"/>
      <c r="M32" s="536"/>
      <c r="N32" s="537"/>
      <c r="O32" s="538"/>
      <c r="P32" s="538"/>
      <c r="Q32" s="539"/>
      <c r="R32" s="538"/>
      <c r="S32" s="538"/>
      <c r="T32" s="540"/>
      <c r="U32" s="540"/>
      <c r="V32" s="541"/>
      <c r="W32" s="545"/>
      <c r="X32" s="578"/>
      <c r="Y32" s="529"/>
    </row>
    <row r="33" spans="1:25" s="516" customFormat="1" ht="12.75" customHeight="1" x14ac:dyDescent="0.25">
      <c r="A33" s="576"/>
      <c r="B33" s="554" t="s">
        <v>248</v>
      </c>
      <c r="C33" s="620" t="s">
        <v>212</v>
      </c>
      <c r="D33" s="620"/>
      <c r="E33" s="620"/>
      <c r="F33" s="620"/>
      <c r="G33" s="620"/>
      <c r="H33" s="620"/>
      <c r="I33" s="620"/>
      <c r="J33" s="620"/>
      <c r="K33" s="620"/>
      <c r="L33" s="535">
        <v>10.37</v>
      </c>
      <c r="M33" s="535" t="s">
        <v>211</v>
      </c>
      <c r="N33" s="537"/>
      <c r="O33" s="538">
        <f t="shared" ref="O33" si="10">ROUND(N33*0.15,2)</f>
        <v>0</v>
      </c>
      <c r="P33" s="538">
        <f t="shared" ref="P33" si="11">ROUND(N33*0.1,2)</f>
        <v>0</v>
      </c>
      <c r="Q33" s="539">
        <v>0.25000000000000006</v>
      </c>
      <c r="R33" s="538">
        <f>Q33*N33</f>
        <v>0</v>
      </c>
      <c r="S33" s="541">
        <f>O33+P33-R33</f>
        <v>0</v>
      </c>
      <c r="T33" s="544">
        <f>ROUNDUP((N33+R33)*0.05,2)</f>
        <v>0</v>
      </c>
      <c r="U33" s="555">
        <f>R33+T33</f>
        <v>0</v>
      </c>
      <c r="V33" s="541">
        <f>U33-T33-R33</f>
        <v>0</v>
      </c>
      <c r="W33" s="545">
        <f>ROUNDDOWN(N33+U33,2)</f>
        <v>0</v>
      </c>
      <c r="X33" s="577">
        <f>W33/L33</f>
        <v>0</v>
      </c>
    </row>
    <row r="34" spans="1:25" s="516" customFormat="1" ht="12.75" customHeight="1" x14ac:dyDescent="0.25">
      <c r="A34" s="576"/>
      <c r="B34" s="554"/>
      <c r="C34" s="628" t="s">
        <v>249</v>
      </c>
      <c r="D34" s="628"/>
      <c r="E34" s="628"/>
      <c r="F34" s="628"/>
      <c r="G34" s="628"/>
      <c r="H34" s="628"/>
      <c r="I34" s="628"/>
      <c r="J34" s="628"/>
      <c r="K34" s="628"/>
      <c r="L34" s="535"/>
      <c r="M34" s="535"/>
      <c r="N34" s="537"/>
      <c r="O34" s="538"/>
      <c r="P34" s="538"/>
      <c r="Q34" s="539"/>
      <c r="R34" s="538"/>
      <c r="S34" s="541"/>
      <c r="T34" s="544"/>
      <c r="U34" s="544"/>
      <c r="V34" s="541"/>
      <c r="W34" s="545"/>
      <c r="X34" s="577"/>
    </row>
    <row r="35" spans="1:25" s="516" customFormat="1" ht="12.75" customHeight="1" x14ac:dyDescent="0.25">
      <c r="A35" s="576"/>
      <c r="B35" s="556"/>
      <c r="C35" s="625" t="s">
        <v>250</v>
      </c>
      <c r="D35" s="625"/>
      <c r="E35" s="625"/>
      <c r="F35" s="625"/>
      <c r="G35" s="625"/>
      <c r="H35" s="625"/>
      <c r="I35" s="625"/>
      <c r="J35" s="625"/>
      <c r="K35" s="625"/>
      <c r="L35" s="535"/>
      <c r="M35" s="536"/>
      <c r="N35" s="537"/>
      <c r="O35" s="538"/>
      <c r="P35" s="538"/>
      <c r="Q35" s="539"/>
      <c r="R35" s="538"/>
      <c r="S35" s="538"/>
      <c r="T35" s="544"/>
      <c r="U35" s="544"/>
      <c r="V35" s="541"/>
      <c r="W35" s="542"/>
      <c r="X35" s="577"/>
    </row>
    <row r="36" spans="1:25" s="516" customFormat="1" ht="12.6" customHeight="1" x14ac:dyDescent="0.25">
      <c r="A36" s="576"/>
      <c r="B36" s="556"/>
      <c r="C36" s="628" t="s">
        <v>251</v>
      </c>
      <c r="D36" s="628"/>
      <c r="E36" s="628"/>
      <c r="F36" s="628"/>
      <c r="G36" s="628"/>
      <c r="H36" s="628"/>
      <c r="I36" s="628"/>
      <c r="J36" s="628"/>
      <c r="K36" s="628"/>
      <c r="L36" s="535"/>
      <c r="M36" s="536"/>
      <c r="N36" s="537"/>
      <c r="O36" s="538"/>
      <c r="P36" s="538"/>
      <c r="Q36" s="539"/>
      <c r="R36" s="538"/>
      <c r="S36" s="538"/>
      <c r="T36" s="544"/>
      <c r="U36" s="544"/>
      <c r="V36" s="541"/>
      <c r="W36" s="542"/>
      <c r="X36" s="577"/>
    </row>
    <row r="37" spans="1:25" s="516" customFormat="1" ht="12.75" customHeight="1" x14ac:dyDescent="0.25">
      <c r="A37" s="623"/>
      <c r="B37" s="624"/>
      <c r="C37" s="624"/>
      <c r="D37" s="624"/>
      <c r="E37" s="624"/>
      <c r="F37" s="624"/>
      <c r="G37" s="624"/>
      <c r="H37" s="624"/>
      <c r="I37" s="624"/>
      <c r="J37" s="624"/>
      <c r="K37" s="624"/>
      <c r="L37" s="557"/>
      <c r="M37" s="558"/>
      <c r="N37" s="559"/>
      <c r="O37" s="560"/>
      <c r="P37" s="560"/>
      <c r="Q37" s="561"/>
      <c r="R37" s="560"/>
      <c r="S37" s="560"/>
      <c r="T37" s="562"/>
      <c r="U37" s="563" t="s">
        <v>98</v>
      </c>
      <c r="V37" s="564"/>
      <c r="W37" s="559">
        <f>SUM(W31:W36)</f>
        <v>0</v>
      </c>
      <c r="X37" s="579"/>
      <c r="Y37" s="519"/>
    </row>
    <row r="38" spans="1:25" ht="12.75" customHeight="1" x14ac:dyDescent="0.25">
      <c r="A38" s="580">
        <v>4</v>
      </c>
      <c r="B38" s="626" t="s">
        <v>252</v>
      </c>
      <c r="C38" s="626"/>
      <c r="D38" s="626"/>
      <c r="E38" s="626"/>
      <c r="F38" s="626"/>
      <c r="G38" s="626"/>
      <c r="H38" s="626"/>
      <c r="I38" s="626"/>
      <c r="J38" s="626"/>
      <c r="K38" s="626"/>
      <c r="L38" s="535"/>
      <c r="M38" s="536"/>
      <c r="N38" s="537"/>
      <c r="O38" s="538"/>
      <c r="P38" s="538"/>
      <c r="Q38" s="539"/>
      <c r="R38" s="538"/>
      <c r="S38" s="538"/>
      <c r="T38" s="540"/>
      <c r="U38" s="540"/>
      <c r="V38" s="541"/>
      <c r="W38" s="542"/>
      <c r="X38" s="578"/>
    </row>
    <row r="39" spans="1:25" ht="12.75" customHeight="1" x14ac:dyDescent="0.25">
      <c r="A39" s="580"/>
      <c r="B39" s="534">
        <v>4.0999999999999996</v>
      </c>
      <c r="C39" s="619" t="s">
        <v>253</v>
      </c>
      <c r="D39" s="619"/>
      <c r="E39" s="619"/>
      <c r="F39" s="619"/>
      <c r="G39" s="619"/>
      <c r="H39" s="619"/>
      <c r="I39" s="619"/>
      <c r="J39" s="619"/>
      <c r="K39" s="619"/>
      <c r="L39" s="535"/>
      <c r="M39" s="536"/>
      <c r="N39" s="537"/>
      <c r="O39" s="538"/>
      <c r="P39" s="538"/>
      <c r="Q39" s="539"/>
      <c r="R39" s="538"/>
      <c r="S39" s="538"/>
      <c r="T39" s="540"/>
      <c r="U39" s="540"/>
      <c r="V39" s="541"/>
      <c r="W39" s="542"/>
      <c r="X39" s="578"/>
    </row>
    <row r="40" spans="1:25" s="517" customFormat="1" ht="22.2" customHeight="1" x14ac:dyDescent="0.25">
      <c r="A40" s="576"/>
      <c r="B40" s="554" t="s">
        <v>254</v>
      </c>
      <c r="C40" s="621" t="s">
        <v>212</v>
      </c>
      <c r="D40" s="621"/>
      <c r="E40" s="621"/>
      <c r="F40" s="621"/>
      <c r="G40" s="621"/>
      <c r="H40" s="621"/>
      <c r="I40" s="621"/>
      <c r="J40" s="621"/>
      <c r="K40" s="621"/>
      <c r="L40" s="535">
        <v>727.69</v>
      </c>
      <c r="M40" s="535" t="s">
        <v>86</v>
      </c>
      <c r="N40" s="537"/>
      <c r="O40" s="538">
        <f>ROUND(N40*0.15,2)</f>
        <v>0</v>
      </c>
      <c r="P40" s="538">
        <f t="shared" ref="P40" si="12">ROUND(N40*0.1,2)</f>
        <v>0</v>
      </c>
      <c r="Q40" s="539">
        <v>0.24999993128940384</v>
      </c>
      <c r="R40" s="538">
        <f>Q40*N40</f>
        <v>0</v>
      </c>
      <c r="S40" s="541">
        <f>O40+P40-R40</f>
        <v>0</v>
      </c>
      <c r="T40" s="544">
        <f>ROUND((N40+R40)*0.05,2)</f>
        <v>0</v>
      </c>
      <c r="U40" s="544">
        <f>R40+T40</f>
        <v>0</v>
      </c>
      <c r="V40" s="541">
        <f>U40-T40-R40</f>
        <v>0</v>
      </c>
      <c r="W40" s="545">
        <f>ROUND(N40+U40,2)</f>
        <v>0</v>
      </c>
      <c r="X40" s="577">
        <f>W40/L40</f>
        <v>0</v>
      </c>
    </row>
    <row r="41" spans="1:25" s="517" customFormat="1" ht="22.2" customHeight="1" x14ac:dyDescent="0.25">
      <c r="A41" s="576"/>
      <c r="B41" s="556"/>
      <c r="C41" s="628" t="s">
        <v>249</v>
      </c>
      <c r="D41" s="628"/>
      <c r="E41" s="628"/>
      <c r="F41" s="628"/>
      <c r="G41" s="628"/>
      <c r="H41" s="628"/>
      <c r="I41" s="628"/>
      <c r="J41" s="628"/>
      <c r="K41" s="628"/>
      <c r="L41" s="535"/>
      <c r="M41" s="536"/>
      <c r="N41" s="537"/>
      <c r="O41" s="538"/>
      <c r="P41" s="538"/>
      <c r="Q41" s="539"/>
      <c r="R41" s="538"/>
      <c r="S41" s="538"/>
      <c r="T41" s="544"/>
      <c r="U41" s="544"/>
      <c r="V41" s="541"/>
      <c r="W41" s="542"/>
      <c r="X41" s="577"/>
    </row>
    <row r="42" spans="1:25" s="517" customFormat="1" ht="22.2" customHeight="1" x14ac:dyDescent="0.25">
      <c r="A42" s="576"/>
      <c r="B42" s="554"/>
      <c r="C42" s="625" t="s">
        <v>250</v>
      </c>
      <c r="D42" s="625"/>
      <c r="E42" s="625"/>
      <c r="F42" s="625"/>
      <c r="G42" s="625"/>
      <c r="H42" s="625"/>
      <c r="I42" s="625"/>
      <c r="J42" s="625"/>
      <c r="K42" s="625"/>
      <c r="L42" s="535"/>
      <c r="M42" s="535"/>
      <c r="N42" s="537"/>
      <c r="O42" s="538"/>
      <c r="P42" s="538"/>
      <c r="Q42" s="539"/>
      <c r="R42" s="538"/>
      <c r="S42" s="541"/>
      <c r="T42" s="544"/>
      <c r="U42" s="544"/>
      <c r="V42" s="541"/>
      <c r="W42" s="545"/>
      <c r="X42" s="577"/>
    </row>
    <row r="43" spans="1:25" s="517" customFormat="1" ht="22.2" customHeight="1" x14ac:dyDescent="0.25">
      <c r="A43" s="576"/>
      <c r="B43" s="554" t="s">
        <v>271</v>
      </c>
      <c r="C43" s="621" t="s">
        <v>272</v>
      </c>
      <c r="D43" s="621"/>
      <c r="E43" s="621"/>
      <c r="F43" s="621"/>
      <c r="G43" s="621"/>
      <c r="H43" s="621"/>
      <c r="I43" s="621"/>
      <c r="J43" s="621"/>
      <c r="K43" s="621"/>
      <c r="L43" s="535">
        <v>16.43</v>
      </c>
      <c r="M43" s="535" t="s">
        <v>86</v>
      </c>
      <c r="N43" s="537"/>
      <c r="O43" s="538">
        <f>ROUND(N43*0.15,2)</f>
        <v>0</v>
      </c>
      <c r="P43" s="538">
        <f t="shared" ref="P43" si="13">ROUND(N43*0.1,2)</f>
        <v>0</v>
      </c>
      <c r="Q43" s="539">
        <v>0.25</v>
      </c>
      <c r="R43" s="538">
        <f>Q43*N43</f>
        <v>0</v>
      </c>
      <c r="S43" s="541">
        <f>O43+P43-R43</f>
        <v>0</v>
      </c>
      <c r="T43" s="544">
        <f>ROUND((N43+R43)*0.05,2)</f>
        <v>0</v>
      </c>
      <c r="U43" s="544">
        <f>R43+T43</f>
        <v>0</v>
      </c>
      <c r="V43" s="541">
        <f>U43-T43-R43</f>
        <v>0</v>
      </c>
      <c r="W43" s="545">
        <f>ROUND(N43+U43,2)</f>
        <v>0</v>
      </c>
      <c r="X43" s="577">
        <f>W43/L43</f>
        <v>0</v>
      </c>
    </row>
    <row r="44" spans="1:25" s="517" customFormat="1" ht="12.75" customHeight="1" x14ac:dyDescent="0.25">
      <c r="A44" s="623"/>
      <c r="B44" s="624"/>
      <c r="C44" s="624"/>
      <c r="D44" s="624"/>
      <c r="E44" s="624"/>
      <c r="F44" s="624"/>
      <c r="G44" s="624"/>
      <c r="H44" s="624"/>
      <c r="I44" s="624"/>
      <c r="J44" s="624"/>
      <c r="K44" s="624"/>
      <c r="L44" s="557"/>
      <c r="M44" s="558"/>
      <c r="N44" s="559"/>
      <c r="O44" s="560"/>
      <c r="P44" s="560"/>
      <c r="Q44" s="561"/>
      <c r="R44" s="560"/>
      <c r="S44" s="560"/>
      <c r="T44" s="562"/>
      <c r="U44" s="563" t="s">
        <v>98</v>
      </c>
      <c r="V44" s="564"/>
      <c r="W44" s="559">
        <f>SUM(W40:W43)</f>
        <v>0</v>
      </c>
      <c r="X44" s="579"/>
      <c r="Y44" s="519"/>
    </row>
    <row r="45" spans="1:25" s="494" customFormat="1" ht="13.2" x14ac:dyDescent="0.25">
      <c r="A45" s="580">
        <v>5</v>
      </c>
      <c r="B45" s="626" t="s">
        <v>255</v>
      </c>
      <c r="C45" s="626"/>
      <c r="D45" s="626"/>
      <c r="E45" s="626"/>
      <c r="F45" s="626"/>
      <c r="G45" s="626"/>
      <c r="H45" s="626"/>
      <c r="I45" s="626"/>
      <c r="J45" s="626"/>
      <c r="K45" s="626"/>
      <c r="L45" s="535"/>
      <c r="M45" s="536"/>
      <c r="N45" s="537"/>
      <c r="O45" s="538"/>
      <c r="P45" s="538"/>
      <c r="Q45" s="539"/>
      <c r="R45" s="538"/>
      <c r="S45" s="538"/>
      <c r="T45" s="540"/>
      <c r="U45" s="540"/>
      <c r="V45" s="541"/>
      <c r="W45" s="542"/>
      <c r="X45" s="578"/>
    </row>
    <row r="46" spans="1:25" ht="12.75" customHeight="1" x14ac:dyDescent="0.25">
      <c r="A46" s="580"/>
      <c r="B46" s="534">
        <v>5.0999999999999996</v>
      </c>
      <c r="C46" s="629" t="s">
        <v>256</v>
      </c>
      <c r="D46" s="629"/>
      <c r="E46" s="629"/>
      <c r="F46" s="629"/>
      <c r="G46" s="629"/>
      <c r="H46" s="629"/>
      <c r="I46" s="629"/>
      <c r="J46" s="629"/>
      <c r="K46" s="629"/>
      <c r="L46" s="535"/>
      <c r="M46" s="536"/>
      <c r="N46" s="537"/>
      <c r="O46" s="538"/>
      <c r="P46" s="538"/>
      <c r="Q46" s="539"/>
      <c r="R46" s="538"/>
      <c r="S46" s="538"/>
      <c r="T46" s="540"/>
      <c r="U46" s="540"/>
      <c r="V46" s="541"/>
      <c r="W46" s="542"/>
      <c r="X46" s="578"/>
    </row>
    <row r="47" spans="1:25" s="517" customFormat="1" ht="12.75" customHeight="1" x14ac:dyDescent="0.25">
      <c r="A47" s="576"/>
      <c r="B47" s="554" t="s">
        <v>257</v>
      </c>
      <c r="C47" s="620" t="s">
        <v>258</v>
      </c>
      <c r="D47" s="620"/>
      <c r="E47" s="620"/>
      <c r="F47" s="620"/>
      <c r="G47" s="620"/>
      <c r="H47" s="620"/>
      <c r="I47" s="620"/>
      <c r="J47" s="620"/>
      <c r="K47" s="620"/>
      <c r="L47" s="535">
        <v>4</v>
      </c>
      <c r="M47" s="535" t="s">
        <v>85</v>
      </c>
      <c r="N47" s="537"/>
      <c r="O47" s="538">
        <f t="shared" ref="O47:O48" si="14">ROUND(N47*0.15,2)</f>
        <v>0</v>
      </c>
      <c r="P47" s="538">
        <f t="shared" ref="P47:P48" si="15">ROUND(N47*0.1,2)</f>
        <v>0</v>
      </c>
      <c r="Q47" s="539">
        <v>0.25</v>
      </c>
      <c r="R47" s="538">
        <f>Q47*N47</f>
        <v>0</v>
      </c>
      <c r="S47" s="541">
        <f>O47+P47-R47</f>
        <v>0</v>
      </c>
      <c r="T47" s="544">
        <f>ROUND((N47+R47)*0.05,2)</f>
        <v>0</v>
      </c>
      <c r="U47" s="544">
        <f>R47+T47</f>
        <v>0</v>
      </c>
      <c r="V47" s="541">
        <f>U47-T47-R47</f>
        <v>0</v>
      </c>
      <c r="W47" s="545">
        <f>ROUND(N47+U47,2)</f>
        <v>0</v>
      </c>
      <c r="X47" s="577">
        <f>W47/L47</f>
        <v>0</v>
      </c>
    </row>
    <row r="48" spans="1:25" s="517" customFormat="1" ht="12.75" customHeight="1" x14ac:dyDescent="0.25">
      <c r="A48" s="576"/>
      <c r="B48" s="554" t="s">
        <v>259</v>
      </c>
      <c r="C48" s="621" t="s">
        <v>260</v>
      </c>
      <c r="D48" s="621"/>
      <c r="E48" s="621"/>
      <c r="F48" s="621"/>
      <c r="G48" s="621"/>
      <c r="H48" s="621"/>
      <c r="I48" s="621"/>
      <c r="J48" s="621"/>
      <c r="K48" s="621"/>
      <c r="L48" s="535">
        <v>1</v>
      </c>
      <c r="M48" s="535" t="s">
        <v>15</v>
      </c>
      <c r="N48" s="537"/>
      <c r="O48" s="538">
        <f t="shared" si="14"/>
        <v>0</v>
      </c>
      <c r="P48" s="538">
        <f t="shared" si="15"/>
        <v>0</v>
      </c>
      <c r="Q48" s="539">
        <v>0.25</v>
      </c>
      <c r="R48" s="538">
        <f>Q48*N48</f>
        <v>0</v>
      </c>
      <c r="S48" s="541">
        <f>O48+P48-R48</f>
        <v>0</v>
      </c>
      <c r="T48" s="544">
        <f>ROUND((N48+R48)*0.05,2)</f>
        <v>0</v>
      </c>
      <c r="U48" s="544">
        <f>R48+T48</f>
        <v>0</v>
      </c>
      <c r="V48" s="541">
        <f>U48-T48-R48</f>
        <v>0</v>
      </c>
      <c r="W48" s="545">
        <f>ROUND(N48+U48,2)</f>
        <v>0</v>
      </c>
      <c r="X48" s="577">
        <f>W48/L48</f>
        <v>0</v>
      </c>
    </row>
    <row r="49" spans="1:25" s="517" customFormat="1" ht="16.2" customHeight="1" x14ac:dyDescent="0.25">
      <c r="A49" s="580"/>
      <c r="B49" s="554"/>
      <c r="C49" s="622" t="s">
        <v>261</v>
      </c>
      <c r="D49" s="622"/>
      <c r="E49" s="622"/>
      <c r="F49" s="622"/>
      <c r="G49" s="622"/>
      <c r="H49" s="622"/>
      <c r="I49" s="622"/>
      <c r="J49" s="622"/>
      <c r="K49" s="622"/>
      <c r="L49" s="535"/>
      <c r="M49" s="535"/>
      <c r="N49" s="537"/>
      <c r="O49" s="538"/>
      <c r="P49" s="538"/>
      <c r="Q49" s="539"/>
      <c r="R49" s="538"/>
      <c r="S49" s="541"/>
      <c r="T49" s="544"/>
      <c r="U49" s="544"/>
      <c r="V49" s="541"/>
      <c r="W49" s="545"/>
      <c r="X49" s="577"/>
    </row>
    <row r="50" spans="1:25" s="517" customFormat="1" ht="12.75" customHeight="1" x14ac:dyDescent="0.25">
      <c r="A50" s="576"/>
      <c r="B50" s="554" t="s">
        <v>262</v>
      </c>
      <c r="C50" s="621" t="s">
        <v>263</v>
      </c>
      <c r="D50" s="621"/>
      <c r="E50" s="621"/>
      <c r="F50" s="621"/>
      <c r="G50" s="621"/>
      <c r="H50" s="621"/>
      <c r="I50" s="621"/>
      <c r="J50" s="621"/>
      <c r="K50" s="621"/>
      <c r="L50" s="535">
        <v>1</v>
      </c>
      <c r="M50" s="535" t="s">
        <v>15</v>
      </c>
      <c r="N50" s="537"/>
      <c r="O50" s="538">
        <f t="shared" ref="O50" si="16">ROUND(N50*0.15,2)</f>
        <v>0</v>
      </c>
      <c r="P50" s="538">
        <f t="shared" ref="P50" si="17">ROUND(N50*0.1,2)</f>
        <v>0</v>
      </c>
      <c r="Q50" s="539">
        <v>0.25</v>
      </c>
      <c r="R50" s="538">
        <f>Q50*N50</f>
        <v>0</v>
      </c>
      <c r="S50" s="541">
        <f>O50+P50-R50</f>
        <v>0</v>
      </c>
      <c r="T50" s="544">
        <f>ROUND((N50+R50)*0.05,2)</f>
        <v>0</v>
      </c>
      <c r="U50" s="544">
        <f>R50+T50</f>
        <v>0</v>
      </c>
      <c r="V50" s="541">
        <f>U50-T50-R50</f>
        <v>0</v>
      </c>
      <c r="W50" s="545">
        <f>ROUND(N50+U50,2)</f>
        <v>0</v>
      </c>
      <c r="X50" s="577">
        <f>W50/L50</f>
        <v>0</v>
      </c>
    </row>
    <row r="51" spans="1:25" s="517" customFormat="1" ht="12.75" customHeight="1" x14ac:dyDescent="0.25">
      <c r="A51" s="576"/>
      <c r="B51" s="554" t="s">
        <v>264</v>
      </c>
      <c r="C51" s="621" t="s">
        <v>265</v>
      </c>
      <c r="D51" s="621"/>
      <c r="E51" s="621"/>
      <c r="F51" s="621"/>
      <c r="G51" s="621"/>
      <c r="H51" s="621"/>
      <c r="I51" s="621"/>
      <c r="J51" s="621"/>
      <c r="K51" s="621"/>
      <c r="L51" s="535">
        <v>1</v>
      </c>
      <c r="M51" s="535" t="s">
        <v>15</v>
      </c>
      <c r="N51" s="537"/>
      <c r="O51" s="538">
        <f t="shared" ref="O51" si="18">ROUND(N51*0.15,2)</f>
        <v>0</v>
      </c>
      <c r="P51" s="538">
        <f t="shared" ref="P51" si="19">ROUND(N51*0.1,2)</f>
        <v>0</v>
      </c>
      <c r="Q51" s="539">
        <v>0.25</v>
      </c>
      <c r="R51" s="538">
        <f>Q51*N51</f>
        <v>0</v>
      </c>
      <c r="S51" s="541">
        <f>O51+P51-R51</f>
        <v>0</v>
      </c>
      <c r="T51" s="544">
        <f>ROUND((N51+R51)*0.05,2)</f>
        <v>0</v>
      </c>
      <c r="U51" s="544">
        <f>R51+T51</f>
        <v>0</v>
      </c>
      <c r="V51" s="541">
        <f>U51-T51-R51</f>
        <v>0</v>
      </c>
      <c r="W51" s="545">
        <f>ROUND(N51+U51,2)</f>
        <v>0</v>
      </c>
      <c r="X51" s="577">
        <f>W51/L51</f>
        <v>0</v>
      </c>
    </row>
    <row r="52" spans="1:25" s="517" customFormat="1" ht="12.75" customHeight="1" x14ac:dyDescent="0.25">
      <c r="A52" s="576"/>
      <c r="B52" s="554" t="s">
        <v>273</v>
      </c>
      <c r="C52" s="621" t="s">
        <v>274</v>
      </c>
      <c r="D52" s="621"/>
      <c r="E52" s="621"/>
      <c r="F52" s="621"/>
      <c r="G52" s="621"/>
      <c r="H52" s="621"/>
      <c r="I52" s="621"/>
      <c r="J52" s="621"/>
      <c r="K52" s="621"/>
      <c r="L52" s="535">
        <v>50</v>
      </c>
      <c r="M52" s="535" t="s">
        <v>19</v>
      </c>
      <c r="N52" s="537"/>
      <c r="O52" s="538">
        <f t="shared" ref="O52" si="20">ROUND(N52*0.15,2)</f>
        <v>0</v>
      </c>
      <c r="P52" s="538">
        <f t="shared" ref="P52" si="21">ROUND(N52*0.1,2)</f>
        <v>0</v>
      </c>
      <c r="Q52" s="539">
        <v>0.25</v>
      </c>
      <c r="R52" s="538">
        <f>Q52*N52</f>
        <v>0</v>
      </c>
      <c r="S52" s="541">
        <f>O52+P52-R52</f>
        <v>0</v>
      </c>
      <c r="T52" s="544">
        <f>ROUND((N52+R52)*0.05,2)</f>
        <v>0</v>
      </c>
      <c r="U52" s="544">
        <f>R52+T52</f>
        <v>0</v>
      </c>
      <c r="V52" s="541">
        <f>U52-T52-R52</f>
        <v>0</v>
      </c>
      <c r="W52" s="545">
        <f>ROUND(N52+U52,2)</f>
        <v>0</v>
      </c>
      <c r="X52" s="577">
        <f>W52/L52</f>
        <v>0</v>
      </c>
    </row>
    <row r="53" spans="1:25" s="517" customFormat="1" ht="19.8" customHeight="1" collapsed="1" x14ac:dyDescent="0.25">
      <c r="A53" s="576"/>
      <c r="B53" s="554" t="s">
        <v>275</v>
      </c>
      <c r="C53" s="621" t="s">
        <v>276</v>
      </c>
      <c r="D53" s="621"/>
      <c r="E53" s="621"/>
      <c r="F53" s="621"/>
      <c r="G53" s="621"/>
      <c r="H53" s="621"/>
      <c r="I53" s="621"/>
      <c r="J53" s="621"/>
      <c r="K53" s="621"/>
      <c r="L53" s="535">
        <f>((5*2.4*2)+(2.3*2.4*2)+(5*2.3))</f>
        <v>46.54</v>
      </c>
      <c r="M53" s="535" t="s">
        <v>18</v>
      </c>
      <c r="N53" s="537"/>
      <c r="O53" s="538">
        <f t="shared" ref="O53" si="22">ROUND(N53*0.15,2)</f>
        <v>0</v>
      </c>
      <c r="P53" s="538">
        <f t="shared" ref="P53" si="23">ROUND(N53*0.1,2)</f>
        <v>0</v>
      </c>
      <c r="Q53" s="539">
        <v>0.25</v>
      </c>
      <c r="R53" s="538">
        <f>Q53*N53</f>
        <v>0</v>
      </c>
      <c r="S53" s="541">
        <f>O53+P53-R53</f>
        <v>0</v>
      </c>
      <c r="T53" s="544">
        <f>ROUND((N53+R53)*0.05,2)</f>
        <v>0</v>
      </c>
      <c r="U53" s="544">
        <f>R53+T53</f>
        <v>0</v>
      </c>
      <c r="V53" s="541">
        <f>U53-T53-R53</f>
        <v>0</v>
      </c>
      <c r="W53" s="545">
        <f>ROUND(N53+U53,2)</f>
        <v>0</v>
      </c>
      <c r="X53" s="577">
        <f>W53/L53</f>
        <v>0</v>
      </c>
    </row>
    <row r="54" spans="1:25" s="516" customFormat="1" ht="19.8" customHeight="1" x14ac:dyDescent="0.25">
      <c r="A54" s="623"/>
      <c r="B54" s="624"/>
      <c r="C54" s="624"/>
      <c r="D54" s="624"/>
      <c r="E54" s="624"/>
      <c r="F54" s="624"/>
      <c r="G54" s="624"/>
      <c r="H54" s="624"/>
      <c r="I54" s="624"/>
      <c r="J54" s="624"/>
      <c r="K54" s="624"/>
      <c r="L54" s="557"/>
      <c r="M54" s="558"/>
      <c r="N54" s="559"/>
      <c r="O54" s="560"/>
      <c r="P54" s="560"/>
      <c r="Q54" s="561"/>
      <c r="R54" s="560"/>
      <c r="S54" s="560"/>
      <c r="T54" s="562"/>
      <c r="U54" s="563" t="s">
        <v>98</v>
      </c>
      <c r="V54" s="564"/>
      <c r="W54" s="559">
        <f>SUM(W46:W53)</f>
        <v>0</v>
      </c>
      <c r="X54" s="579"/>
      <c r="Y54" s="519"/>
    </row>
    <row r="55" spans="1:25" s="518" customFormat="1" ht="15.6" customHeight="1" thickBot="1" x14ac:dyDescent="0.3">
      <c r="A55" s="617"/>
      <c r="B55" s="618"/>
      <c r="C55" s="618"/>
      <c r="D55" s="618"/>
      <c r="E55" s="618"/>
      <c r="F55" s="618"/>
      <c r="G55" s="618"/>
      <c r="H55" s="618"/>
      <c r="I55" s="618"/>
      <c r="J55" s="618"/>
      <c r="K55" s="618"/>
      <c r="L55" s="581"/>
      <c r="M55" s="582"/>
      <c r="N55" s="583"/>
      <c r="O55" s="583"/>
      <c r="P55" s="583"/>
      <c r="Q55" s="584"/>
      <c r="R55" s="585"/>
      <c r="S55" s="585"/>
      <c r="T55" s="583"/>
      <c r="U55" s="586" t="s">
        <v>266</v>
      </c>
      <c r="V55" s="586"/>
      <c r="W55" s="592">
        <f>SUM(W10:W54)/2</f>
        <v>0</v>
      </c>
      <c r="X55" s="587"/>
      <c r="Y55" s="520"/>
    </row>
    <row r="56" spans="1:25" ht="12" customHeight="1" x14ac:dyDescent="0.25">
      <c r="A56" s="494"/>
      <c r="B56" s="494"/>
      <c r="C56" s="494"/>
      <c r="D56" s="494"/>
      <c r="E56" s="494"/>
      <c r="F56" s="494"/>
      <c r="G56" s="494"/>
      <c r="H56" s="494"/>
      <c r="I56" s="494"/>
      <c r="J56" s="494"/>
      <c r="K56" s="494"/>
      <c r="L56" s="508"/>
      <c r="M56" s="509"/>
      <c r="N56" s="521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522"/>
    </row>
    <row r="57" spans="1:25" ht="12.75" customHeight="1" x14ac:dyDescent="0.25">
      <c r="A57" s="494"/>
      <c r="B57" s="494"/>
      <c r="C57" s="494"/>
      <c r="D57" s="494"/>
      <c r="E57" s="494"/>
      <c r="F57" s="494"/>
      <c r="G57" s="494"/>
      <c r="H57" s="494"/>
      <c r="I57" s="494"/>
      <c r="J57" s="494"/>
      <c r="K57" s="494"/>
      <c r="L57" s="508"/>
      <c r="M57" s="509"/>
      <c r="N57" s="455"/>
      <c r="O57" s="494"/>
      <c r="P57" s="494"/>
      <c r="Q57" s="494"/>
      <c r="R57" s="494"/>
      <c r="S57" s="494"/>
      <c r="T57" s="494"/>
      <c r="U57" s="494"/>
      <c r="V57" s="494"/>
      <c r="W57" s="515"/>
      <c r="X57" s="494"/>
      <c r="Y57" s="522"/>
    </row>
    <row r="58" spans="1:25" s="494" customFormat="1" ht="12.75" customHeight="1" x14ac:dyDescent="0.25">
      <c r="A58" s="450"/>
      <c r="B58" s="449"/>
      <c r="C58" s="449"/>
      <c r="D58" s="449"/>
      <c r="E58" s="449"/>
      <c r="F58" s="449"/>
      <c r="I58" s="451"/>
      <c r="J58" s="449"/>
      <c r="K58" s="449"/>
      <c r="L58" s="449"/>
      <c r="N58" s="451"/>
      <c r="Q58" s="453"/>
      <c r="R58" s="453"/>
      <c r="S58" s="454"/>
      <c r="T58" s="456"/>
      <c r="U58" s="453"/>
      <c r="Y58" s="525"/>
    </row>
    <row r="59" spans="1:25" s="494" customFormat="1" ht="12.75" customHeight="1" x14ac:dyDescent="0.25">
      <c r="A59" s="450"/>
      <c r="B59" s="449"/>
      <c r="C59" s="450"/>
      <c r="D59" s="450"/>
      <c r="E59" s="450"/>
      <c r="F59" s="450"/>
      <c r="I59" s="451"/>
      <c r="J59" s="450"/>
      <c r="K59" s="449"/>
      <c r="L59" s="459"/>
      <c r="N59" s="451"/>
      <c r="Q59" s="459"/>
      <c r="R59" s="450"/>
      <c r="S59" s="461"/>
      <c r="T59" s="456"/>
      <c r="U59" s="460"/>
      <c r="Y59" s="525"/>
    </row>
    <row r="60" spans="1:25" s="494" customFormat="1" ht="12.75" customHeight="1" x14ac:dyDescent="0.25">
      <c r="A60" s="450"/>
      <c r="B60" s="449"/>
      <c r="C60" s="450"/>
      <c r="D60" s="450"/>
      <c r="E60" s="450"/>
      <c r="F60" s="450"/>
      <c r="I60" s="451"/>
      <c r="J60" s="450"/>
      <c r="K60" s="449"/>
      <c r="L60" s="459"/>
      <c r="N60" s="451"/>
      <c r="Q60" s="459"/>
      <c r="R60" s="450"/>
      <c r="S60" s="461"/>
      <c r="T60" s="456"/>
      <c r="U60" s="460"/>
      <c r="Y60" s="525"/>
    </row>
    <row r="61" spans="1:25" s="494" customFormat="1" ht="12.75" customHeight="1" x14ac:dyDescent="0.25">
      <c r="A61" s="449"/>
      <c r="B61" s="449"/>
      <c r="C61" s="449"/>
      <c r="D61" s="449"/>
      <c r="E61" s="449"/>
      <c r="F61" s="450"/>
      <c r="I61" s="449"/>
      <c r="J61" s="449"/>
      <c r="K61" s="449"/>
      <c r="L61" s="449"/>
      <c r="N61" s="449"/>
      <c r="Q61" s="449"/>
      <c r="R61" s="449"/>
      <c r="S61" s="449"/>
      <c r="T61" s="449"/>
      <c r="U61" s="449"/>
      <c r="Y61" s="525"/>
    </row>
    <row r="62" spans="1:25" s="494" customFormat="1" ht="12.75" customHeight="1" x14ac:dyDescent="0.25">
      <c r="A62" s="462"/>
      <c r="B62" s="449"/>
      <c r="C62" s="450"/>
      <c r="D62" s="450"/>
      <c r="E62" s="449"/>
      <c r="F62" s="450"/>
      <c r="I62" s="463"/>
      <c r="J62" s="450"/>
      <c r="K62" s="449"/>
      <c r="L62" s="459"/>
      <c r="N62" s="463"/>
      <c r="Q62" s="459"/>
      <c r="R62" s="450"/>
      <c r="S62" s="464"/>
      <c r="T62" s="465"/>
      <c r="U62" s="460"/>
      <c r="Y62" s="515"/>
    </row>
    <row r="63" spans="1:25" s="494" customFormat="1" ht="12.75" customHeight="1" x14ac:dyDescent="0.25">
      <c r="A63" s="450"/>
      <c r="B63" s="449"/>
      <c r="C63" s="450"/>
      <c r="D63" s="450"/>
      <c r="E63" s="449"/>
      <c r="F63" s="466"/>
      <c r="I63" s="451"/>
      <c r="J63" s="450"/>
      <c r="K63" s="449"/>
      <c r="L63" s="459"/>
      <c r="N63" s="451"/>
      <c r="Q63" s="459"/>
      <c r="R63" s="450"/>
      <c r="S63" s="454"/>
      <c r="T63" s="456"/>
      <c r="U63" s="460"/>
      <c r="Y63" s="515"/>
    </row>
    <row r="64" spans="1:25" s="494" customFormat="1" ht="12.75" customHeight="1" x14ac:dyDescent="0.25">
      <c r="A64" s="449"/>
      <c r="B64" s="449"/>
      <c r="C64" s="450"/>
      <c r="D64" s="450"/>
      <c r="E64" s="450"/>
      <c r="F64" s="450"/>
      <c r="I64" s="460"/>
      <c r="J64" s="466"/>
      <c r="K64" s="449"/>
      <c r="L64" s="459"/>
      <c r="N64" s="460"/>
      <c r="Q64" s="459"/>
      <c r="R64" s="450"/>
      <c r="S64" s="454"/>
      <c r="T64" s="456"/>
      <c r="U64" s="460"/>
      <c r="Y64" s="515"/>
    </row>
    <row r="65" spans="1:25" s="494" customFormat="1" ht="12.75" customHeight="1" x14ac:dyDescent="0.25">
      <c r="A65" s="449"/>
      <c r="B65" s="449"/>
      <c r="C65" s="449"/>
      <c r="D65" s="449"/>
      <c r="E65" s="449"/>
      <c r="F65" s="449"/>
      <c r="I65" s="449"/>
      <c r="J65" s="449"/>
      <c r="K65" s="449"/>
      <c r="L65" s="449"/>
      <c r="M65" s="452"/>
      <c r="N65" s="455"/>
      <c r="O65" s="449"/>
      <c r="P65" s="449"/>
      <c r="Q65" s="449"/>
      <c r="R65" s="523"/>
      <c r="S65" s="524"/>
      <c r="Y65" s="515"/>
    </row>
    <row r="66" spans="1:25" ht="12.75" customHeight="1" x14ac:dyDescent="0.25">
      <c r="A66" s="449"/>
      <c r="B66" s="449"/>
      <c r="C66" s="449"/>
      <c r="D66" s="449"/>
      <c r="E66" s="449"/>
      <c r="F66" s="449"/>
      <c r="G66" s="449"/>
      <c r="H66" s="449"/>
      <c r="I66" s="449"/>
      <c r="J66" s="449"/>
      <c r="K66" s="452"/>
      <c r="L66" s="453"/>
      <c r="M66" s="453"/>
      <c r="N66" s="449"/>
      <c r="O66" s="449"/>
      <c r="P66" s="449"/>
      <c r="Q66" s="449"/>
      <c r="R66" s="494"/>
      <c r="S66" s="494"/>
      <c r="T66" s="494"/>
      <c r="U66" s="494"/>
      <c r="V66" s="494"/>
      <c r="W66" s="494"/>
      <c r="X66" s="494"/>
    </row>
    <row r="67" spans="1:25" ht="12.75" customHeight="1" x14ac:dyDescent="0.25">
      <c r="A67" s="462"/>
      <c r="B67" s="449"/>
      <c r="C67" s="449"/>
      <c r="D67" s="449"/>
      <c r="E67" s="449"/>
      <c r="F67" s="449"/>
      <c r="G67" s="449"/>
      <c r="H67" s="449"/>
      <c r="I67" s="449"/>
      <c r="J67" s="449"/>
      <c r="K67" s="452"/>
      <c r="L67" s="453"/>
      <c r="M67" s="453"/>
      <c r="N67" s="449"/>
      <c r="O67" s="449"/>
      <c r="P67" s="449"/>
      <c r="Q67" s="449"/>
      <c r="R67" s="494"/>
      <c r="S67" s="494"/>
      <c r="T67" s="494"/>
      <c r="U67" s="494"/>
      <c r="V67" s="494"/>
      <c r="W67" s="494"/>
      <c r="X67" s="494"/>
    </row>
    <row r="68" spans="1:25" s="494" customFormat="1" ht="12.75" customHeight="1" x14ac:dyDescent="0.25">
      <c r="A68" s="450"/>
      <c r="B68" s="449"/>
      <c r="C68" s="449"/>
      <c r="D68" s="449"/>
      <c r="E68" s="449"/>
      <c r="F68" s="449"/>
      <c r="G68" s="449"/>
      <c r="H68" s="449"/>
      <c r="I68" s="449"/>
      <c r="J68" s="449"/>
      <c r="K68" s="452"/>
      <c r="L68" s="453"/>
      <c r="M68" s="453"/>
      <c r="N68" s="449"/>
      <c r="O68" s="449"/>
      <c r="P68" s="449"/>
      <c r="Q68" s="449"/>
    </row>
    <row r="69" spans="1:25" s="494" customFormat="1" ht="12.75" customHeight="1" x14ac:dyDescent="0.25">
      <c r="A69" s="23"/>
      <c r="B69" s="6"/>
      <c r="C69" s="23"/>
      <c r="D69" s="6"/>
      <c r="E69" s="6"/>
      <c r="F69" s="6"/>
      <c r="G69" s="6"/>
      <c r="H69" s="6"/>
      <c r="I69" s="6"/>
      <c r="J69" s="6"/>
      <c r="K69" s="6"/>
      <c r="L69" s="6"/>
      <c r="M69" s="23"/>
      <c r="N69" s="10"/>
      <c r="O69" s="31"/>
      <c r="P69" s="10"/>
      <c r="Q69" s="10"/>
    </row>
    <row r="70" spans="1:25" ht="12.75" customHeight="1" x14ac:dyDescent="0.25">
      <c r="A70" s="494"/>
      <c r="B70" s="494"/>
      <c r="C70" s="494"/>
      <c r="D70" s="494"/>
      <c r="E70" s="494"/>
      <c r="F70" s="494"/>
      <c r="G70" s="494"/>
      <c r="H70" s="494"/>
      <c r="I70" s="494"/>
      <c r="J70" s="494"/>
      <c r="K70" s="494"/>
      <c r="L70" s="508"/>
      <c r="M70" s="509"/>
      <c r="N70" s="455"/>
      <c r="O70" s="494"/>
      <c r="P70" s="494"/>
      <c r="Q70" s="494"/>
      <c r="S70" s="494"/>
      <c r="T70" s="494"/>
      <c r="U70" s="494"/>
      <c r="V70" s="494"/>
      <c r="W70" s="494"/>
      <c r="X70" s="494"/>
    </row>
    <row r="72" spans="1:25" ht="12.75" customHeight="1" x14ac:dyDescent="0.25">
      <c r="A72" s="588"/>
      <c r="B72" s="588"/>
      <c r="C72" s="588"/>
      <c r="D72" s="588"/>
      <c r="E72" s="588"/>
      <c r="F72" s="588"/>
    </row>
    <row r="73" spans="1:25" ht="12.75" customHeight="1" x14ac:dyDescent="0.25">
      <c r="A73" s="589"/>
      <c r="B73" s="589"/>
      <c r="C73" s="589"/>
      <c r="D73" s="589"/>
      <c r="E73" s="590"/>
      <c r="F73" s="591"/>
    </row>
    <row r="74" spans="1:25" ht="12.75" customHeight="1" x14ac:dyDescent="0.25">
      <c r="A74" s="589"/>
      <c r="B74" s="589"/>
      <c r="C74" s="589"/>
      <c r="D74" s="589"/>
      <c r="E74" s="591"/>
      <c r="F74" s="591"/>
    </row>
    <row r="75" spans="1:25" ht="12.75" customHeight="1" x14ac:dyDescent="0.25">
      <c r="A75" s="589"/>
      <c r="B75" s="590"/>
      <c r="C75" s="589"/>
      <c r="D75" s="589"/>
      <c r="E75" s="589"/>
      <c r="F75" s="591"/>
    </row>
    <row r="95" s="500" customFormat="1" ht="12.75" customHeight="1" x14ac:dyDescent="0.25"/>
  </sheetData>
  <mergeCells count="59">
    <mergeCell ref="C53:K53"/>
    <mergeCell ref="C24:K24"/>
    <mergeCell ref="C28:K28"/>
    <mergeCell ref="C43:K43"/>
    <mergeCell ref="C52:K52"/>
    <mergeCell ref="C46:K46"/>
    <mergeCell ref="A37:K37"/>
    <mergeCell ref="B38:K38"/>
    <mergeCell ref="C39:K39"/>
    <mergeCell ref="C40:K40"/>
    <mergeCell ref="C41:K41"/>
    <mergeCell ref="B18:K18"/>
    <mergeCell ref="C19:K19"/>
    <mergeCell ref="C20:K20"/>
    <mergeCell ref="A8:K9"/>
    <mergeCell ref="L8:L9"/>
    <mergeCell ref="M8:M9"/>
    <mergeCell ref="N8:N9"/>
    <mergeCell ref="A17:K17"/>
    <mergeCell ref="X8:X9"/>
    <mergeCell ref="B10:K10"/>
    <mergeCell ref="C11:K11"/>
    <mergeCell ref="C15:K15"/>
    <mergeCell ref="U8:U9"/>
    <mergeCell ref="V8:V9"/>
    <mergeCell ref="O8:P8"/>
    <mergeCell ref="Q8:R8"/>
    <mergeCell ref="S8:S9"/>
    <mergeCell ref="T8:T9"/>
    <mergeCell ref="W8:W9"/>
    <mergeCell ref="C22:K22"/>
    <mergeCell ref="C36:K36"/>
    <mergeCell ref="C25:K25"/>
    <mergeCell ref="C26:K26"/>
    <mergeCell ref="C27:K27"/>
    <mergeCell ref="A29:K29"/>
    <mergeCell ref="B30:K30"/>
    <mergeCell ref="C31:K31"/>
    <mergeCell ref="C32:K32"/>
    <mergeCell ref="C33:K33"/>
    <mergeCell ref="C34:K34"/>
    <mergeCell ref="C35:K35"/>
    <mergeCell ref="C23:K23"/>
    <mergeCell ref="A55:K55"/>
    <mergeCell ref="A2:X2"/>
    <mergeCell ref="A3:X3"/>
    <mergeCell ref="A4:X4"/>
    <mergeCell ref="A5:X5"/>
    <mergeCell ref="C16:K16"/>
    <mergeCell ref="C47:K47"/>
    <mergeCell ref="C48:K48"/>
    <mergeCell ref="C49:K49"/>
    <mergeCell ref="C50:K50"/>
    <mergeCell ref="C51:K51"/>
    <mergeCell ref="A54:K54"/>
    <mergeCell ref="C42:K42"/>
    <mergeCell ref="A44:K44"/>
    <mergeCell ref="B45:K45"/>
    <mergeCell ref="C21:K21"/>
  </mergeCells>
  <conditionalFormatting sqref="K67:K69">
    <cfRule type="duplicateValues" dxfId="0" priority="1"/>
  </conditionalFormatting>
  <printOptions horizontalCentered="1"/>
  <pageMargins left="0.25" right="0.25" top="0.75" bottom="0.75" header="0.3" footer="0.3"/>
  <pageSetup paperSize="9" scale="67" fitToHeight="0" orientation="landscape" r:id="rId1"/>
  <rowBreaks count="1" manualBreakCount="1">
    <brk id="4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BOQ</vt:lpstr>
      <vt:lpstr>BOQ SEPTIC</vt:lpstr>
      <vt:lpstr>BOQ!Excel_BuiltIn_Print_Titles_1</vt:lpstr>
      <vt:lpstr>BOQ!Excel_BuiltIn_Print_Titles_1_1</vt:lpstr>
      <vt:lpstr>BOQ!Print_Area</vt:lpstr>
      <vt:lpstr>'BOQ SEPTIC'!Print_Area</vt:lpstr>
      <vt:lpstr>BOQ!Print_Titles</vt:lpstr>
      <vt:lpstr>'BOQ SEPTIC'!Print_Titles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</dc:creator>
  <cp:lastModifiedBy>ACER NITRO 5</cp:lastModifiedBy>
  <cp:lastPrinted>2025-09-04T02:05:05Z</cp:lastPrinted>
  <dcterms:created xsi:type="dcterms:W3CDTF">2014-10-13T02:16:30Z</dcterms:created>
  <dcterms:modified xsi:type="dcterms:W3CDTF">2025-09-12T05:22:24Z</dcterms:modified>
</cp:coreProperties>
</file>